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<sst xmlns="http://schemas.openxmlformats.org/spreadsheetml/2006/main" count="102" uniqueCount="89">
  <si>
    <t>Sensor Based N Rate Calculator</t>
  </si>
  <si>
    <t>Data Entry</t>
  </si>
  <si>
    <t>Results</t>
  </si>
  <si>
    <t>Max yield, bu/ac</t>
  </si>
  <si>
    <t>Response Index</t>
  </si>
  <si>
    <t>month/day/year</t>
  </si>
  <si>
    <t>NDVI (NRS)</t>
  </si>
  <si>
    <t>Potential yield (NRS), bu/ac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</si>
  <si>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</si>
  <si>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</si>
  <si>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</si>
  <si>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</si>
  <si>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</si>
  <si>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</si>
  <si>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</si>
  <si>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</si>
  <si>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</si>
  <si>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</si>
  <si>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</si>
  <si>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</si>
  <si>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</si>
  <si>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</si>
  <si>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Maximum yield, bu/ac</t>
  </si>
  <si>
    <t>Planting Date</t>
  </si>
  <si>
    <t>Potential yield (no added N)</t>
  </si>
  <si>
    <t>Sensing Date</t>
  </si>
  <si>
    <t>Potential yield (with added N)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</si>
  <si>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</si>
  <si>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</si>
  <si>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</si>
  <si>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</si>
  <si>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</si>
  <si>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</si>
  <si>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</si>
  <si>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</si>
  <si>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</si>
  <si>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</si>
  <si>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</si>
  <si>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</si>
  <si>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</si>
  <si>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</si>
  <si>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</si>
  <si>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</si>
  <si>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</si>
  <si>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</si>
  <si>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</si>
  <si>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</si>
  <si>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</si>
  <si>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</si>
  <si>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</si>
  <si>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</si>
  <si>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</si>
  <si>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</si>
  <si>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</si>
  <si>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</si>
  <si>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</si>
  <si>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</si>
  <si>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</si>
  <si>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</si>
  <si>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</si>
  <si>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</si>
  <si>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</si>
  <si>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</si>
  <si>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</si>
  <si>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</si>
  <si>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</si>
  <si>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</si>
  <si>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</si>
  <si>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</si>
  <si>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</si>
  <si>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</si>
  <si>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</si>
  <si>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Potential yield (0-N), bu/ac</t>
  </si>
  <si>
    <t>Potential yield (+ N), bu/ac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</si>
  <si>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=1565*(EXP(INSEY*154.7)</t>
    </r>
  </si>
  <si>
    <t>y = 1565e154.7x</t>
  </si>
  <si>
    <t>Irrigated/Rainfed</t>
  </si>
  <si>
    <t>Corn USA, Cummulative GDD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</si>
  <si>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=1.291*(EXP(NDVI/Sum of GDD*2649.9)</t>
    </r>
  </si>
  <si>
    <t>http://uspest.org/cgi-bin/usmapmaker.pl</t>
  </si>
  <si>
    <t>USA Link for Computing Cumulative GDD</t>
  </si>
  <si>
    <t>YP0 =  1.291*EXP(NDVI/Sum of GDD*2649.9)</t>
  </si>
  <si>
    <t>Cumulative GDD, Plt to Sens.</t>
  </si>
  <si>
    <t>GDD = ((Tmin + Tmax)/2)-50F</t>
  </si>
  <si>
    <t>Cum GDD</t>
  </si>
  <si>
    <t>Pounds of Urea/ac</t>
  </si>
  <si>
    <t>Sensor Based N Rate Calculator, Corn, 2009</t>
  </si>
  <si>
    <t>4. Determine cumulative GDD from planting to sensing</t>
  </si>
  <si>
    <t>5. Compute INSEY (NDVI/cumulative GDD from planting to sensing)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</si>
</sst>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horizontal="left"/>
    </xf>
    <xf numFmtId="0" fontId="12" fillId="37" borderId="15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2" fillId="37" borderId="12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14" fillId="0" borderId="0" xfId="0" applyFont="1" applyAlignment="1">
      <alignment/>
    </xf>
    <xf numFmtId="0" fontId="13" fillId="36" borderId="0" xfId="0" applyFont="1" applyFill="1" applyAlignment="1">
      <alignment horizontal="left"/>
    </xf>
    <xf numFmtId="2" fontId="12" fillId="40" borderId="10" xfId="0" applyNumberFormat="1" applyFont="1" applyFill="1" applyBorder="1" applyAlignment="1">
      <alignment horizontal="left"/>
    </xf>
    <xf numFmtId="0" fontId="12" fillId="34" borderId="0" xfId="0" applyFont="1" applyFill="1" applyAlignment="1" quotePrefix="1">
      <alignment horizontal="left"/>
    </xf>
    <xf numFmtId="1" fontId="12" fillId="40" borderId="10" xfId="0" applyNumberFormat="1" applyFont="1" applyFill="1" applyBorder="1" applyAlignment="1">
      <alignment horizontal="left"/>
    </xf>
    <xf numFmtId="0" fontId="12" fillId="0" borderId="0" xfId="0" applyFont="1" applyAlignment="1" quotePrefix="1">
      <alignment horizontal="left"/>
    </xf>
    <xf numFmtId="0" fontId="13" fillId="34" borderId="0" xfId="0" applyFont="1" applyFill="1" applyAlignment="1" quotePrefix="1">
      <alignment horizontal="left"/>
    </xf>
    <xf numFmtId="1" fontId="13" fillId="37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34" borderId="0" xfId="0" applyFont="1" applyFill="1" applyAlignment="1">
      <alignment horizontal="left"/>
    </xf>
    <xf numFmtId="15" fontId="12" fillId="39" borderId="1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41" borderId="16" xfId="0" applyFont="1" applyFill="1" applyBorder="1" applyAlignment="1">
      <alignment/>
    </xf>
    <xf numFmtId="0" fontId="17" fillId="42" borderId="17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7" fillId="41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4" fillId="0" borderId="0" xfId="0" applyFont="1" applyAlignment="1" quotePrefix="1">
      <alignment horizontal="left" wrapText="1"/>
    </xf>
    <xf numFmtId="0" fontId="12" fillId="34" borderId="0" xfId="0" applyFont="1" applyFill="1" applyAlignment="1">
      <alignment horizontal="left" wrapText="1"/>
    </xf>
    <xf numFmtId="1" fontId="12" fillId="43" borderId="10" xfId="0" applyNumberFormat="1" applyFont="1" applyFill="1" applyBorder="1" applyAlignment="1">
      <alignment horizontal="left"/>
    </xf>
    <xf numFmtId="0" fontId="13" fillId="34" borderId="0" xfId="0" applyFont="1" applyFill="1" applyAlignment="1">
      <alignment horizontal="left"/>
    </xf>
    <xf numFmtId="0" fontId="13" fillId="37" borderId="14" xfId="0" applyFont="1" applyFill="1" applyBorder="1" applyAlignment="1">
      <alignment/>
    </xf>
    <xf numFmtId="0" fontId="12" fillId="34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150" zoomScaleNormal="150" zoomScalePageLayoutView="0" workbookViewId="0" topLeftCell="A1">
      <selection activeCell="A1" sqref="A1"/>
    </sheetView>
  </sheetViews>
  <sheetFormatPr defaultColWidth="8.421875" defaultRowHeight="12.75"/>
  <cols>
    <col min="1" max="1" width="20.7109375" style="60" customWidth="1"/>
    <col min="2" max="2" width="11.57421875" style="55" customWidth="1"/>
    <col min="3" max="3" width="14.421875" style="55" customWidth="1"/>
    <col min="4" max="4" width="8.7109375" style="55" customWidth="1"/>
    <col min="5" max="5" width="8.421875" style="60" bestFit="1" customWidth="1"/>
    <col min="6" max="16384" width="8.421875" style="60" customWidth="1"/>
  </cols>
  <sheetData>
    <row r="1" spans="1:17" s="52" customFormat="1" ht="11.25">
      <c r="A1" s="85" t="s">
        <v>86</v>
      </c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" s="55" customFormat="1" ht="11.25">
      <c r="A2" s="53" t="s">
        <v>1</v>
      </c>
      <c r="B2" s="54"/>
    </row>
    <row r="3" spans="1:2" s="55" customFormat="1" ht="11.25">
      <c r="A3" s="56" t="s">
        <v>3</v>
      </c>
      <c r="B3" s="57">
        <v>350</v>
      </c>
    </row>
    <row r="4" spans="1:2" s="55" customFormat="1" ht="11.25">
      <c r="A4" s="56" t="s">
        <v>23</v>
      </c>
      <c r="B4" s="74">
        <v>38443</v>
      </c>
    </row>
    <row r="5" spans="1:2" s="55" customFormat="1" ht="11.25">
      <c r="A5" s="56" t="s">
        <v>25</v>
      </c>
      <c r="B5" s="74">
        <v>38482</v>
      </c>
    </row>
    <row r="6" spans="1:5" ht="11.25">
      <c r="A6" s="56" t="s">
        <v>6</v>
      </c>
      <c r="B6" s="58">
        <v>0.65</v>
      </c>
      <c r="E6" s="55"/>
    </row>
    <row r="7" spans="1:2" ht="11.25">
      <c r="A7" s="56" t="s">
        <v>8</v>
      </c>
      <c r="B7" s="57">
        <v>0.55</v>
      </c>
    </row>
    <row r="8" spans="1:5" ht="11.25">
      <c r="A8" s="56" t="s">
        <v>10</v>
      </c>
      <c r="B8" s="57">
        <v>0.5</v>
      </c>
      <c r="D8" s="80" t="s">
        <v>80</v>
      </c>
      <c r="E8" s="55"/>
    </row>
    <row r="9" spans="1:5" ht="11.25">
      <c r="A9" s="61" t="s">
        <v>2</v>
      </c>
      <c r="B9" s="61"/>
      <c r="D9" s="55" t="s">
        <v>79</v>
      </c>
      <c r="E9" s="55"/>
    </row>
    <row r="10" spans="1:5" ht="11.25">
      <c r="A10" s="55" t="s">
        <v>4</v>
      </c>
      <c r="B10" s="62">
        <f>((B6/B7)*1.64)-0.53</f>
        <v>1.4081818181818178</v>
      </c>
      <c r="E10" s="55"/>
    </row>
    <row r="11" spans="1:5" ht="11.25">
      <c r="A11" s="82" t="s">
        <v>82</v>
      </c>
      <c r="B11" s="64">
        <v>580</v>
      </c>
      <c r="D11" s="71" t="s">
        <v>83</v>
      </c>
      <c r="E11" s="55"/>
    </row>
    <row r="12" spans="1:5" ht="11.25">
      <c r="A12" s="63" t="s">
        <v>72</v>
      </c>
      <c r="B12" s="64">
        <f>Formulas!F17</f>
        <v>253.99846449399766</v>
      </c>
      <c r="E12" s="55"/>
    </row>
    <row r="13" spans="1:5" ht="11.25">
      <c r="A13" s="63" t="s">
        <v>73</v>
      </c>
      <c r="B13" s="64">
        <f>Formulas!I17</f>
        <v>350</v>
      </c>
      <c r="E13" s="55"/>
    </row>
    <row r="14" spans="1:5" ht="11.25">
      <c r="A14" s="65" t="s">
        <v>7</v>
      </c>
      <c r="B14" s="64">
        <f>Formulas!H16</f>
        <v>0</v>
      </c>
      <c r="E14" s="55"/>
    </row>
    <row r="15" spans="1:4" ht="11.25">
      <c r="A15" s="66" t="s">
        <v>9</v>
      </c>
      <c r="B15" s="67">
        <f>IF(Formulas!K17&lt;0,0,Formulas!K17)</f>
        <v>134.40214970840327</v>
      </c>
      <c r="C15" s="60"/>
      <c r="D15" s="60"/>
    </row>
    <row r="16" spans="1:4" ht="11.25">
      <c r="A16" s="84" t="s">
        <v>85</v>
      </c>
      <c r="B16" s="83">
        <f>Formulas!L17</f>
        <v>298.6714437964517</v>
      </c>
      <c r="C16" s="60"/>
      <c r="D16" s="60"/>
    </row>
    <row r="17" spans="2:4" ht="11.25">
      <c r="B17" s="56"/>
      <c r="C17" s="60"/>
      <c r="D17" s="60"/>
    </row>
    <row r="18" spans="1:5" ht="11.25">
      <c r="A18" s="56" t="s">
        <v>11</v>
      </c>
      <c r="B18" s="56"/>
      <c r="C18" s="56"/>
      <c r="D18" s="56"/>
      <c r="E18" s="59"/>
    </row>
    <row r="19" spans="1:5" ht="11.25">
      <c r="A19" s="56" t="s">
        <v>12</v>
      </c>
      <c r="B19" s="56"/>
      <c r="C19" s="56"/>
      <c r="D19" s="56"/>
      <c r="E19" s="59"/>
    </row>
    <row r="20" spans="1:5" ht="11.25">
      <c r="A20" s="56" t="s">
        <v>13</v>
      </c>
      <c r="B20" s="56"/>
      <c r="C20" s="56"/>
      <c r="D20" s="56"/>
      <c r="E20" s="59"/>
    </row>
    <row r="21" spans="2:5" s="68" customFormat="1" ht="11.25">
      <c r="B21" s="69"/>
      <c r="C21" s="69"/>
      <c r="D21" s="56"/>
      <c r="E21" s="59"/>
    </row>
    <row r="22" spans="1:5" s="71" customFormat="1" ht="11.25">
      <c r="A22" s="69" t="s">
        <v>14</v>
      </c>
      <c r="B22" s="70"/>
      <c r="C22" s="70"/>
      <c r="D22" s="56"/>
      <c r="E22" s="59"/>
    </row>
    <row r="23" spans="1:5" ht="11.25">
      <c r="A23" s="70" t="s">
        <v>15</v>
      </c>
      <c r="B23" s="56"/>
      <c r="C23" s="56"/>
      <c r="D23" s="56"/>
      <c r="E23" s="59"/>
    </row>
    <row r="24" spans="1:5" ht="11.25">
      <c r="A24" s="56" t="s">
        <v>16</v>
      </c>
      <c r="B24" s="56"/>
      <c r="C24" s="56"/>
      <c r="D24" s="56"/>
      <c r="E24" s="59"/>
    </row>
    <row r="25" spans="1:5" ht="11.25">
      <c r="A25" s="56" t="s">
        <v>17</v>
      </c>
      <c r="B25" s="56"/>
      <c r="C25" s="56"/>
      <c r="D25" s="56"/>
      <c r="E25" s="59"/>
    </row>
    <row r="26" spans="1:5" ht="11.25">
      <c r="A26" s="86" t="s">
        <v>87</v>
      </c>
      <c r="B26" s="56"/>
      <c r="C26" s="56"/>
      <c r="D26" s="56"/>
      <c r="E26" s="59"/>
    </row>
    <row r="27" spans="1:5" s="72" customFormat="1" ht="11.25">
      <c r="A27" s="86" t="s">
        <v>88</v>
      </c>
      <c r="B27" s="70"/>
      <c r="C27" s="70"/>
      <c r="D27" s="56"/>
      <c r="E27" s="59"/>
    </row>
    <row r="28" spans="1:5" ht="11.25">
      <c r="A28" s="70" t="s">
        <v>18</v>
      </c>
      <c r="B28" s="56"/>
      <c r="C28" s="56"/>
      <c r="D28" s="56"/>
      <c r="E28" s="59"/>
    </row>
    <row r="29" spans="1:5" ht="11.25">
      <c r="A29" s="63" t="s">
        <v>19</v>
      </c>
      <c r="B29" s="56"/>
      <c r="C29" s="56"/>
      <c r="D29" s="56"/>
      <c r="E29" s="59"/>
    </row>
    <row r="30" spans="1:5" ht="11.25">
      <c r="A30" s="63" t="s">
        <v>20</v>
      </c>
      <c r="B30" s="56"/>
      <c r="C30" s="56"/>
      <c r="D30" s="56"/>
      <c r="E30" s="59"/>
    </row>
    <row r="31" spans="1:5" ht="11.25">
      <c r="A31" s="63" t="s">
        <v>21</v>
      </c>
      <c r="B31" s="56"/>
      <c r="C31" s="56"/>
      <c r="D31" s="56"/>
      <c r="E31" s="59"/>
    </row>
    <row r="32" spans="1:5" ht="11.25">
      <c r="A32" s="73"/>
      <c r="B32" s="56"/>
      <c r="C32" s="56"/>
      <c r="D32" s="56"/>
      <c r="E32" s="59"/>
    </row>
    <row r="33" spans="1:5" ht="11.25">
      <c r="A33" s="59"/>
      <c r="B33" s="56"/>
      <c r="C33" s="56"/>
      <c r="D33" s="56"/>
      <c r="E33" s="59"/>
    </row>
    <row r="34" spans="1:5" ht="11.25">
      <c r="A34" s="59"/>
      <c r="B34" s="56"/>
      <c r="C34" s="56"/>
      <c r="D34" s="56"/>
      <c r="E34" s="59"/>
    </row>
    <row r="35" spans="1:5" ht="11.25">
      <c r="A35" s="59"/>
      <c r="B35" s="56"/>
      <c r="C35" s="56"/>
      <c r="D35" s="56"/>
      <c r="E35" s="59"/>
    </row>
    <row r="36" spans="1:5" ht="11.25">
      <c r="A36" s="59"/>
      <c r="B36" s="56"/>
      <c r="C36" s="56"/>
      <c r="D36" s="56"/>
      <c r="E36" s="59"/>
    </row>
    <row r="37" spans="1:5" ht="11.25">
      <c r="A37" s="59"/>
      <c r="B37" s="56"/>
      <c r="C37" s="56"/>
      <c r="D37" s="56"/>
      <c r="E37" s="59"/>
    </row>
    <row r="38" spans="4:5" ht="11.25">
      <c r="D38" s="56"/>
      <c r="E38" s="59"/>
    </row>
    <row r="39" spans="4:5" ht="11.25">
      <c r="D39" s="56"/>
      <c r="E39" s="59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130" zoomScaleNormal="130" zoomScalePageLayoutView="0" workbookViewId="0" topLeftCell="A7">
      <selection activeCell="E16" sqref="E16"/>
    </sheetView>
  </sheetViews>
  <sheetFormatPr defaultColWidth="8.42187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5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22</v>
      </c>
      <c r="E4" s="33">
        <f>DATA!B3</f>
        <v>350</v>
      </c>
      <c r="H4" s="1" t="s">
        <v>4</v>
      </c>
      <c r="K4" s="36">
        <f>DATA!B10</f>
        <v>1.4081818181818178</v>
      </c>
    </row>
    <row r="5" spans="2:11" s="1" customFormat="1" ht="12.75">
      <c r="B5" s="1" t="s">
        <v>23</v>
      </c>
      <c r="E5" s="40">
        <v>38292</v>
      </c>
      <c r="F5" s="38"/>
      <c r="H5" s="1" t="s">
        <v>24</v>
      </c>
      <c r="K5" s="36">
        <f>F17</f>
        <v>253.99846449399766</v>
      </c>
    </row>
    <row r="6" spans="2:11" s="1" customFormat="1" ht="12.75">
      <c r="B6" s="1" t="s">
        <v>25</v>
      </c>
      <c r="E6" s="40">
        <v>38357</v>
      </c>
      <c r="F6" s="38"/>
      <c r="H6" s="1" t="s">
        <v>26</v>
      </c>
      <c r="K6" s="39">
        <f>I17</f>
        <v>350</v>
      </c>
    </row>
    <row r="7" spans="5:13" s="1" customFormat="1" ht="15.75">
      <c r="E7" s="37" t="s">
        <v>5</v>
      </c>
      <c r="F7" s="37"/>
      <c r="H7" s="1" t="s">
        <v>27</v>
      </c>
      <c r="K7" s="39">
        <f>DATA!B11</f>
        <v>580</v>
      </c>
      <c r="M7" s="75" t="s">
        <v>74</v>
      </c>
    </row>
    <row r="8" spans="2:11" ht="12.75">
      <c r="B8" s="1" t="s">
        <v>28</v>
      </c>
      <c r="E8" s="36">
        <f>DATA!B6</f>
        <v>0.65</v>
      </c>
      <c r="H8" s="1" t="s">
        <v>29</v>
      </c>
      <c r="K8" s="39">
        <f>IF(L17&lt;0,0,L17)</f>
        <v>298.6714437964517</v>
      </c>
    </row>
    <row r="9" spans="2:5" ht="12.75">
      <c r="B9" s="1" t="s">
        <v>30</v>
      </c>
      <c r="E9" s="33">
        <f>DATA!B7</f>
        <v>0.55</v>
      </c>
    </row>
    <row r="11" spans="1:14" s="18" customFormat="1" ht="12.75">
      <c r="A11" s="17" t="s">
        <v>31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32</v>
      </c>
      <c r="E12" s="81" t="s">
        <v>81</v>
      </c>
      <c r="F12" s="2"/>
      <c r="G12" s="2" t="s">
        <v>33</v>
      </c>
      <c r="H12" s="2" t="s">
        <v>34</v>
      </c>
      <c r="I12" s="2" t="s">
        <v>35</v>
      </c>
      <c r="J12" s="2"/>
      <c r="K12" s="2" t="s">
        <v>36</v>
      </c>
      <c r="L12" s="2"/>
      <c r="O12" s="3"/>
    </row>
    <row r="13" spans="3:15" ht="67.5" customHeight="1">
      <c r="C13" s="45" t="s">
        <v>37</v>
      </c>
      <c r="D13" s="4" t="s">
        <v>38</v>
      </c>
      <c r="E13" s="4" t="s">
        <v>39</v>
      </c>
      <c r="F13" s="4"/>
      <c r="G13" s="4" t="s">
        <v>40</v>
      </c>
      <c r="H13" s="4" t="s">
        <v>41</v>
      </c>
      <c r="I13" s="45" t="s">
        <v>42</v>
      </c>
      <c r="J13" s="4"/>
      <c r="K13" s="4" t="s">
        <v>43</v>
      </c>
      <c r="L13" s="4"/>
      <c r="O13" s="3"/>
    </row>
    <row r="14" spans="3:15" s="7" customFormat="1" ht="17.25" customHeight="1">
      <c r="C14" s="5" t="s">
        <v>44</v>
      </c>
      <c r="D14" s="5"/>
      <c r="E14" s="5" t="s">
        <v>45</v>
      </c>
      <c r="F14" s="5"/>
      <c r="G14" s="6" t="s">
        <v>46</v>
      </c>
      <c r="H14" s="5" t="s">
        <v>45</v>
      </c>
      <c r="I14" s="5" t="s">
        <v>45</v>
      </c>
      <c r="J14" s="24" t="s">
        <v>47</v>
      </c>
      <c r="K14" s="5" t="s">
        <v>48</v>
      </c>
      <c r="L14" s="5"/>
      <c r="O14" s="6"/>
    </row>
    <row r="15" spans="2:15" ht="33" customHeight="1">
      <c r="B15" s="25" t="s">
        <v>49</v>
      </c>
      <c r="C15" s="4" t="s">
        <v>84</v>
      </c>
      <c r="D15" s="4" t="s">
        <v>38</v>
      </c>
      <c r="E15" s="4" t="s">
        <v>50</v>
      </c>
      <c r="F15" s="4" t="s">
        <v>51</v>
      </c>
      <c r="G15" s="45" t="s">
        <v>52</v>
      </c>
      <c r="H15" s="4" t="s">
        <v>53</v>
      </c>
      <c r="I15" s="4" t="s">
        <v>54</v>
      </c>
      <c r="J15" s="4" t="s">
        <v>55</v>
      </c>
      <c r="K15" s="4" t="s">
        <v>56</v>
      </c>
      <c r="L15" s="4" t="s">
        <v>57</v>
      </c>
      <c r="O15" s="3"/>
    </row>
    <row r="16" spans="1:15" s="11" customFormat="1" ht="17.25" customHeight="1">
      <c r="A16" s="11" t="s">
        <v>58</v>
      </c>
      <c r="B16" s="11">
        <f>DATA!B6</f>
        <v>0.65</v>
      </c>
      <c r="C16" s="46">
        <f>DATA!B11</f>
        <v>580</v>
      </c>
      <c r="D16" s="13">
        <f>B16/C16</f>
        <v>0.0011206896551724137</v>
      </c>
      <c r="E16" s="13">
        <f>(((1.291*EXP(D16*2649.9))*1000)/1.12/56)</f>
        <v>401.09870014524796</v>
      </c>
      <c r="F16" s="13">
        <f>IF(E16&gt;DATA!B3,DATA!B3,E16)</f>
        <v>350</v>
      </c>
      <c r="G16" s="48">
        <f>F16*56*0.0125</f>
        <v>245</v>
      </c>
      <c r="H16" s="48"/>
      <c r="I16" s="48"/>
      <c r="J16" s="48">
        <f>I17*56*0.0125</f>
        <v>245</v>
      </c>
      <c r="K16" s="13">
        <f>($G$16-G16)/DATA!B8</f>
        <v>0</v>
      </c>
      <c r="L16" s="13"/>
      <c r="O16" s="12"/>
    </row>
    <row r="17" spans="1:48" s="14" customFormat="1" ht="17.25" customHeight="1">
      <c r="A17" t="s">
        <v>59</v>
      </c>
      <c r="B17">
        <f>DATA!B7</f>
        <v>0.55</v>
      </c>
      <c r="C17" s="47">
        <f>DATA!B11</f>
        <v>580</v>
      </c>
      <c r="D17" s="2">
        <f>B17/C17</f>
        <v>0.0009482758620689656</v>
      </c>
      <c r="E17" s="2">
        <f>(((1.291*EXP(D17*2649.9))*1000)/1.12/56)</f>
        <v>253.99846449399766</v>
      </c>
      <c r="F17" s="2">
        <f>IF(E17&gt;E4,E4,E17)</f>
        <v>253.99846449399766</v>
      </c>
      <c r="G17" s="2">
        <f>F17*56*0.0125</f>
        <v>177.79892514579836</v>
      </c>
      <c r="H17" s="2">
        <f>F17*$K$4</f>
        <v>357.6760195465475</v>
      </c>
      <c r="I17" s="2">
        <f>IF(H17&gt;$E$4,$E$4,H17)</f>
        <v>350</v>
      </c>
      <c r="J17" s="2">
        <f>G17</f>
        <v>177.79892514579836</v>
      </c>
      <c r="K17" s="2">
        <f>(J16-G17)/DATA!B8</f>
        <v>134.40214970840327</v>
      </c>
      <c r="L17" s="2">
        <f>K17/0.45</f>
        <v>298.6714437964517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3.5" thickBot="1">
      <c r="B19" s="2"/>
      <c r="C19" s="2"/>
      <c r="D19" s="4" t="s">
        <v>60</v>
      </c>
      <c r="E19" s="2" t="s">
        <v>75</v>
      </c>
      <c r="F19" s="2"/>
      <c r="H19" s="2"/>
      <c r="I19" s="2"/>
      <c r="J19" s="2"/>
      <c r="K19" s="2"/>
      <c r="L19" s="2"/>
      <c r="M19" s="2"/>
      <c r="N19" s="2"/>
      <c r="O19" s="2"/>
    </row>
    <row r="20" spans="3:15" ht="13.5" thickBot="1">
      <c r="C20" s="2"/>
      <c r="D20" s="4" t="s">
        <v>61</v>
      </c>
      <c r="E20" s="2"/>
      <c r="F20" s="2"/>
      <c r="G20" s="76" t="s">
        <v>76</v>
      </c>
      <c r="H20" s="77" t="s">
        <v>77</v>
      </c>
      <c r="I20" s="2"/>
      <c r="J20" s="2"/>
      <c r="K20" s="2"/>
      <c r="L20" s="2"/>
      <c r="M20" s="2"/>
      <c r="N20" s="2"/>
      <c r="O20" s="3"/>
    </row>
    <row r="21" spans="1:7" ht="16.5" thickBot="1">
      <c r="A21" s="10"/>
      <c r="B21" s="10"/>
      <c r="G21" s="79" t="s">
        <v>78</v>
      </c>
    </row>
    <row r="22" spans="1:16" ht="13.5" thickBot="1">
      <c r="A22" s="1"/>
      <c r="B22" s="1"/>
      <c r="M22" s="78">
        <v>2009</v>
      </c>
      <c r="O22" s="60"/>
      <c r="P22" s="60"/>
    </row>
    <row r="23" spans="1:14" s="9" customFormat="1" ht="12.75">
      <c r="A23" s="1"/>
      <c r="B23" s="1"/>
      <c r="C23" s="42" t="s">
        <v>14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15</v>
      </c>
      <c r="G24" s="22"/>
    </row>
    <row r="25" spans="1:3" ht="12.75">
      <c r="A25" s="1"/>
      <c r="B25" s="1"/>
      <c r="C25" s="41" t="s">
        <v>16</v>
      </c>
    </row>
    <row r="26" spans="1:3" ht="12.75">
      <c r="A26" s="10"/>
      <c r="B26" s="10"/>
      <c r="C26" s="41" t="s">
        <v>17</v>
      </c>
    </row>
    <row r="27" spans="1:3" ht="12.75">
      <c r="A27" s="1"/>
      <c r="B27" s="1"/>
      <c r="C27" s="41" t="s">
        <v>62</v>
      </c>
    </row>
    <row r="28" spans="1:3" ht="12.75">
      <c r="A28" s="1"/>
      <c r="B28" s="1"/>
      <c r="C28" s="41" t="s">
        <v>63</v>
      </c>
    </row>
    <row r="29" spans="1:14" s="16" customFormat="1" ht="12.75">
      <c r="A29" s="1"/>
      <c r="B29" s="1"/>
      <c r="C29" s="43" t="s">
        <v>18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64</v>
      </c>
    </row>
    <row r="31" ht="12.75">
      <c r="C31" s="41" t="s">
        <v>65</v>
      </c>
    </row>
    <row r="32" ht="12.75">
      <c r="C32" s="41" t="s">
        <v>66</v>
      </c>
    </row>
    <row r="33" ht="12.75">
      <c r="C33" s="44" t="s">
        <v>67</v>
      </c>
    </row>
    <row r="35" ht="12.75">
      <c r="C35" s="1" t="s">
        <v>68</v>
      </c>
    </row>
    <row r="36" ht="12.75">
      <c r="C36" s="1" t="s">
        <v>69</v>
      </c>
    </row>
    <row r="37" ht="12.75">
      <c r="C37" s="1" t="s">
        <v>70</v>
      </c>
    </row>
    <row r="39" ht="12.75">
      <c r="C39" s="1" t="s">
        <v>71</v>
      </c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msft</dc:creator>
  <cp:keywords/>
  <dc:description/>
  <cp:lastModifiedBy>bill raun</cp:lastModifiedBy>
  <dcterms:created xsi:type="dcterms:W3CDTF">2005-03-02T19:13:00Z</dcterms:created>
  <dcterms:modified xsi:type="dcterms:W3CDTF">2015-08-27T12:48:19Z</dcterms:modified>
  <cp:category/>
  <cp:version/>
  <cp:contentType/>
  <cp:contentStatus/>
</cp:coreProperties>
</file>