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chartsheets/sheet4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20" windowHeight="9120" tabRatio="956" activeTab="0"/>
  </bookViews>
  <sheets>
    <sheet name="NVTable_Data_Entry" sheetId="1" r:id="rId1"/>
    <sheet name="NVTable_Data_Weeds" sheetId="2" r:id="rId2"/>
    <sheet name="NVTable_Blank" sheetId="3" r:id="rId3"/>
    <sheet name="NVChart_Blank" sheetId="4" r:id="rId4"/>
    <sheet name="NVTable_MY" sheetId="5" r:id="rId5"/>
    <sheet name="NVChart_MY" sheetId="6" r:id="rId6"/>
    <sheet name="NVTable_RI" sheetId="7" r:id="rId7"/>
    <sheet name="NVChart_RI" sheetId="8" r:id="rId8"/>
    <sheet name="NVTable_RI_EY" sheetId="9" r:id="rId9"/>
    <sheet name="NVChart_RI_EY" sheetId="10" r:id="rId10"/>
    <sheet name="NVTable_RI_ADJ" sheetId="11" r:id="rId11"/>
    <sheet name="NVChart_RI_ADJ" sheetId="12" r:id="rId12"/>
    <sheet name="NVTable_Weed" sheetId="13" r:id="rId13"/>
    <sheet name="PSTable_New" sheetId="14" r:id="rId14"/>
    <sheet name="PSChart" sheetId="15" r:id="rId15"/>
    <sheet name="PSTable_Weeds" sheetId="16" r:id="rId16"/>
    <sheet name="Noz_Lib" sheetId="17" r:id="rId17"/>
    <sheet name="Pump_Cap" sheetId="18" r:id="rId18"/>
  </sheets>
  <definedNames>
    <definedName name="Actual_x1">#REF!</definedName>
    <definedName name="Actual_x2">#REF!</definedName>
    <definedName name="Actual_x4">#REF!</definedName>
    <definedName name="alg">'PSTable_Weeds'!$G$7</definedName>
    <definedName name="alg_select">'NVTable_Data_Weeds'!$D$47</definedName>
    <definedName name="Application_Rate">#REF!</definedName>
    <definedName name="calc_pres">'PSTable_Weeds'!$E$10</definedName>
    <definedName name="calc_spd">'PSTable_Weeds'!$E$9</definedName>
    <definedName name="conv_ftr">'PSTable_New'!$D$26</definedName>
    <definedName name="crop_select">'NVTable_Data_Entry'!$L$47</definedName>
    <definedName name="dens">'PSTable_New'!$C$26</definedName>
    <definedName name="des_GPA">'PSTable_Weeds'!$E$7</definedName>
    <definedName name="des_pres">'PSTable_New'!$B$6</definedName>
    <definedName name="des_pres_w">'PSTable_Weeds'!$B$6</definedName>
    <definedName name="des_rate">'PSTable_Weeds'!$E$6</definedName>
    <definedName name="des_spd">'PSTable_New'!$B$7</definedName>
    <definedName name="des_spd_w">'PSTable_Weeds'!$B$7</definedName>
    <definedName name="des_speed">'PSTable_Weeds'!$B$6</definedName>
    <definedName name="GDD_0">'NVTable_RI'!$C$17</definedName>
    <definedName name="Hwarn1">'PSTable_Weeds'!$N$9</definedName>
    <definedName name="Hwarn2">'PSTable_Weeds'!$N$10</definedName>
    <definedName name="Hwarn3">'PSTable_Weeds'!$N$11</definedName>
    <definedName name="Hwarn4">'PSTable_Weeds'!$N$12</definedName>
    <definedName name="k">#REF!</definedName>
    <definedName name="max_label">'PSTable_Weeds'!$B$9</definedName>
    <definedName name="max_rate">'PSTable_New'!$M$5</definedName>
    <definedName name="min_label">'PSTable_Weeds'!$B$8</definedName>
    <definedName name="n_conc">'PSTable_New'!$E$26</definedName>
    <definedName name="N_nz1_sel">'NVTable_Data_Entry'!$C$81</definedName>
    <definedName name="N_nz2_sel">'NVTable_Data_Entry'!$F$81</definedName>
    <definedName name="N_nz3_sel">'NVTable_Data_Entry'!$I$81</definedName>
    <definedName name="n_src">'PSTable_New'!$B$26</definedName>
    <definedName name="Nominal_Pressure">#REF!</definedName>
    <definedName name="Nominal_Speed">#REF!</definedName>
    <definedName name="noz_spc">'PSTable_New'!$A$26</definedName>
    <definedName name="noz_spc_w">'PSTable_Weeds'!$A$26</definedName>
    <definedName name="Noz1_cons">'PSTable_New'!$B$16</definedName>
    <definedName name="Noz1_GPA">'PSTable_Weeds'!$J$30:$J$158</definedName>
    <definedName name="Noz1_pwr">'PSTable_New'!$C$16</definedName>
    <definedName name="Noz2_cons">'PSTable_New'!$B$17</definedName>
    <definedName name="noz2_GPA">'PSTable_Weeds'!$K$30:$K$158</definedName>
    <definedName name="Noz2_pwr">'PSTable_New'!$C$17</definedName>
    <definedName name="Noz3_cons">'PSTable_New'!$B$18</definedName>
    <definedName name="Noz3_pwr">'PSTable_New'!$C$18</definedName>
    <definedName name="Nwarn1">'PSTable_New'!$K$18</definedName>
    <definedName name="Nwarn2">'PSTable_New'!$K$19</definedName>
    <definedName name="Nwarn3">'PSTable_New'!$K$20</definedName>
    <definedName name="Nwarn4">'PSTable_New'!$K$21</definedName>
    <definedName name="nz_angle">'PSTable_Weeds'!$C$26</definedName>
    <definedName name="nz_angle_2">'PSTable_Weeds'!$E$26</definedName>
    <definedName name="nz_hgt">'PSTable_Weeds'!$F$26</definedName>
    <definedName name="nz1_cons">'PSTable_Weeds'!$B$17</definedName>
    <definedName name="nz1_pwr">'PSTable_Weeds'!$C$17</definedName>
    <definedName name="nz1_sel">'PSTable_Weeds'!$A$12</definedName>
    <definedName name="nz1_select">'NVTable_Data_Weeds'!$C$52</definedName>
    <definedName name="nz1_selection">'NVTable_Data_Weeds'!$C$52</definedName>
    <definedName name="nz2_cons">'PSTable_Weeds'!$B$18</definedName>
    <definedName name="nz2_pwr">'PSTable_Weeds'!$C$18</definedName>
    <definedName name="nz2_sel">'PSTable_Weeds'!$B$12</definedName>
    <definedName name="nz2_select">'NVTable_Data_Weeds'!$F$52</definedName>
    <definedName name="RI">'NVTable_RI'!$B$17</definedName>
    <definedName name="spray_width">'PSTable_Weeds'!$B$26</definedName>
    <definedName name="spray_width_2">'PSTable_Weeds'!$D$26</definedName>
    <definedName name="spray_width_nz1">'PSTable_Weeds'!$B$26</definedName>
    <definedName name="test_col">'PSTable_Weeds'!$L$30:$L$158</definedName>
    <definedName name="tgt_max_N">'PSTable_New'!$B$8</definedName>
    <definedName name="tgt_pres">'PSTable_New'!$B$6</definedName>
    <definedName name="tgt_pressure">'PSTable_New'!$E$7</definedName>
    <definedName name="tgt_spd">'PSTable_New'!$B$7</definedName>
    <definedName name="tgt_speed">'PSTable_New'!$E$6</definedName>
    <definedName name="true_nz_spc_w">'PSTable_Weeds'!$B$26</definedName>
    <definedName name="v1_stat">'PSTable_New'!$L$6</definedName>
    <definedName name="v2_stat">'PSTable_New'!$L$7</definedName>
    <definedName name="v3_stat">'PSTable_New'!$L$9</definedName>
    <definedName name="valv1_stat">'PSTable_Weeds'!$L$6</definedName>
    <definedName name="valv2_stat">'PSTable_Weeds'!$L$7</definedName>
    <definedName name="vs1">'PSTable_New'!$K$6</definedName>
    <definedName name="vs2">'PSTable_New'!$K$7</definedName>
    <definedName name="vs3">'PSTable_New'!$K$8</definedName>
    <definedName name="vs4">'PSTable_New'!$K$9</definedName>
    <definedName name="vs5">'PSTable_New'!$K$10</definedName>
    <definedName name="vs6">'PSTable_New'!$K$11</definedName>
    <definedName name="vs7">'PSTable_New'!$K$12</definedName>
    <definedName name="warn1">'PSTable_Weeds'!$N$15</definedName>
    <definedName name="warn2">'PSTable_Weeds'!$N$16</definedName>
    <definedName name="warn3">'PSTable_Weeds'!$N$17</definedName>
    <definedName name="warn4">'PSTable_Weeds'!$N$18</definedName>
    <definedName name="warn5">'PSTable_Weeds'!$N$19</definedName>
    <definedName name="warn6">'PSTable_Weeds'!$N$20</definedName>
    <definedName name="warn7">'PSTable_Weeds'!$N$21</definedName>
    <definedName name="warn8">'PSTable_Weeds'!$N$22</definedName>
  </definedNames>
  <calcPr fullCalcOnLoad="1"/>
</workbook>
</file>

<file path=xl/comments11.xml><?xml version="1.0" encoding="utf-8"?>
<comments xmlns="http://schemas.openxmlformats.org/spreadsheetml/2006/main">
  <authors>
    <author>Marvin L. Stone</author>
  </authors>
  <commentList>
    <comment ref="E23" authorId="0">
      <text>
        <r>
          <rPr>
            <b/>
            <sz val="8"/>
            <rFont val="Tahoma"/>
            <family val="0"/>
          </rPr>
          <t>Enter the file name for the data file that will be created on the applicator in 8.3 format here
This file name must be unique on the compact flash card</t>
        </r>
      </text>
    </comment>
  </commentList>
</comments>
</file>

<file path=xl/comments13.xml><?xml version="1.0" encoding="utf-8"?>
<comments xmlns="http://schemas.openxmlformats.org/spreadsheetml/2006/main">
  <authors>
    <author>Marvin L. Stone</author>
    <author>Robert Mullen</author>
  </authors>
  <commentList>
    <comment ref="E23" authorId="0">
      <text>
        <r>
          <rPr>
            <b/>
            <sz val="8"/>
            <rFont val="Tahoma"/>
            <family val="0"/>
          </rPr>
          <t>Enter the file name for the data file that will be created on the applicator in 8.3 format here
This file name must be unique on the compact flash card</t>
        </r>
      </text>
    </comment>
    <comment ref="B24" authorId="1">
      <text>
        <r>
          <rPr>
            <b/>
            <sz val="8"/>
            <rFont val="Tahoma"/>
            <family val="0"/>
          </rPr>
          <t>Robert Mullen:</t>
        </r>
        <r>
          <rPr>
            <sz val="8"/>
            <rFont val="Tahoma"/>
            <family val="0"/>
          </rPr>
          <t xml:space="preserve">
Target speed should not be more than "___."</t>
        </r>
      </text>
    </comment>
    <comment ref="C24" authorId="1">
      <text>
        <r>
          <rPr>
            <b/>
            <sz val="8"/>
            <rFont val="Tahoma"/>
            <family val="0"/>
          </rPr>
          <t>Robert Mullen:</t>
        </r>
        <r>
          <rPr>
            <sz val="8"/>
            <rFont val="Tahoma"/>
            <family val="0"/>
          </rPr>
          <t xml:space="preserve">
Target pressure should be between "___" and "___."</t>
        </r>
      </text>
    </comment>
  </commentList>
</comments>
</file>

<file path=xl/comments18.xml><?xml version="1.0" encoding="utf-8"?>
<comments xmlns="http://schemas.openxmlformats.org/spreadsheetml/2006/main">
  <authors>
    <author>Stewart Reed</author>
  </authors>
  <commentList>
    <comment ref="B22" authorId="0">
      <text>
        <r>
          <rPr>
            <b/>
            <sz val="8"/>
            <rFont val="Tahoma"/>
            <family val="0"/>
          </rPr>
          <t>Stewart Reed:</t>
        </r>
        <r>
          <rPr>
            <sz val="8"/>
            <rFont val="Tahoma"/>
            <family val="0"/>
          </rPr>
          <t xml:space="preserve">
This value is for UAN.</t>
        </r>
      </text>
    </comment>
    <comment ref="B23" authorId="0">
      <text>
        <r>
          <rPr>
            <b/>
            <sz val="8"/>
            <rFont val="Tahoma"/>
            <family val="0"/>
          </rPr>
          <t>Stewart Reed:</t>
        </r>
        <r>
          <rPr>
            <sz val="8"/>
            <rFont val="Tahoma"/>
            <family val="0"/>
          </rPr>
          <t xml:space="preserve">
This value is for UAN.</t>
        </r>
      </text>
    </comment>
    <comment ref="B24" authorId="0">
      <text>
        <r>
          <rPr>
            <b/>
            <sz val="8"/>
            <rFont val="Tahoma"/>
            <family val="0"/>
          </rPr>
          <t>Stewart Reed:</t>
        </r>
        <r>
          <rPr>
            <sz val="8"/>
            <rFont val="Tahoma"/>
            <family val="0"/>
          </rPr>
          <t xml:space="preserve">
This value is for UAN.</t>
        </r>
      </text>
    </comment>
  </commentList>
</comments>
</file>

<file path=xl/comments2.xml><?xml version="1.0" encoding="utf-8"?>
<comments xmlns="http://schemas.openxmlformats.org/spreadsheetml/2006/main">
  <authors>
    <author>Marvin L. Stone</author>
  </authors>
  <commentList>
    <comment ref="E23" authorId="0">
      <text>
        <r>
          <rPr>
            <b/>
            <sz val="8"/>
            <rFont val="Tahoma"/>
            <family val="0"/>
          </rPr>
          <t>Enter the file name for the data file that will be created on the applicator in 8.3 format here
This file name must be unique on the compact flash card</t>
        </r>
      </text>
    </comment>
  </commentList>
</comments>
</file>

<file path=xl/comments3.xml><?xml version="1.0" encoding="utf-8"?>
<comments xmlns="http://schemas.openxmlformats.org/spreadsheetml/2006/main">
  <authors>
    <author>Marvin Stone</author>
    <author>Marvin L. Stone</author>
  </authors>
  <commentList>
    <comment ref="B17" authorId="0">
      <text>
        <r>
          <rPr>
            <sz val="8"/>
            <rFont val="Tahoma"/>
            <family val="0"/>
          </rPr>
          <t>Enter the value of response index here</t>
        </r>
      </text>
    </comment>
    <comment ref="C17" authorId="0">
      <text>
        <r>
          <rPr>
            <sz val="8"/>
            <rFont val="Tahoma"/>
            <family val="0"/>
          </rPr>
          <t>Enter growing degree days &gt; 0 here</t>
        </r>
      </text>
    </comment>
    <comment ref="E23" authorId="1">
      <text>
        <r>
          <rPr>
            <b/>
            <sz val="8"/>
            <rFont val="Tahoma"/>
            <family val="0"/>
          </rPr>
          <t>Enter the file name for the data file that will be created on the applicator in 8.3 format here
This file name must be unique on the compact flash card</t>
        </r>
      </text>
    </comment>
  </commentList>
</comments>
</file>

<file path=xl/comments5.xml><?xml version="1.0" encoding="utf-8"?>
<comments xmlns="http://schemas.openxmlformats.org/spreadsheetml/2006/main">
  <authors>
    <author>Marvin Stone</author>
    <author>Marvin L. Stone</author>
  </authors>
  <commentList>
    <comment ref="B17" authorId="0">
      <text>
        <r>
          <rPr>
            <sz val="8"/>
            <rFont val="Tahoma"/>
            <family val="0"/>
          </rPr>
          <t>Enter the value of response index here</t>
        </r>
      </text>
    </comment>
    <comment ref="C17" authorId="0">
      <text>
        <r>
          <rPr>
            <sz val="8"/>
            <rFont val="Tahoma"/>
            <family val="0"/>
          </rPr>
          <t>Enter growing degree days &gt; 0 here</t>
        </r>
      </text>
    </comment>
    <comment ref="E23" authorId="1">
      <text>
        <r>
          <rPr>
            <b/>
            <sz val="8"/>
            <rFont val="Tahoma"/>
            <family val="0"/>
          </rPr>
          <t>Enter the file name for the data file that will be created on the applicator in 8.3 format here
This file name must be unique on the compact flash card</t>
        </r>
      </text>
    </comment>
  </commentList>
</comments>
</file>

<file path=xl/comments7.xml><?xml version="1.0" encoding="utf-8"?>
<comments xmlns="http://schemas.openxmlformats.org/spreadsheetml/2006/main">
  <authors>
    <author>Marvin L. Stone</author>
  </authors>
  <commentList>
    <comment ref="E23" authorId="0">
      <text>
        <r>
          <rPr>
            <b/>
            <sz val="8"/>
            <rFont val="Tahoma"/>
            <family val="0"/>
          </rPr>
          <t>Enter the file name for the data file that will be created on the applicator in 8.3 format here
This file name must be unique on the compact flash card</t>
        </r>
      </text>
    </comment>
  </commentList>
</comments>
</file>

<file path=xl/comments9.xml><?xml version="1.0" encoding="utf-8"?>
<comments xmlns="http://schemas.openxmlformats.org/spreadsheetml/2006/main">
  <authors>
    <author>Marvin Stone</author>
    <author>Marvin L. Stone</author>
  </authors>
  <commentList>
    <comment ref="C17" authorId="0">
      <text>
        <r>
          <rPr>
            <sz val="8"/>
            <rFont val="Tahoma"/>
            <family val="0"/>
          </rPr>
          <t>Enter growing degree days &gt; 0 here</t>
        </r>
      </text>
    </comment>
    <comment ref="E23" authorId="1">
      <text>
        <r>
          <rPr>
            <b/>
            <sz val="8"/>
            <rFont val="Tahoma"/>
            <family val="0"/>
          </rPr>
          <t>Enter the file name for the data file that will be created on the applicator in 8.3 format here
This file name must be unique on the compact flash card</t>
        </r>
      </text>
    </comment>
    <comment ref="B17" authorId="0">
      <text>
        <r>
          <rPr>
            <sz val="8"/>
            <rFont val="Tahoma"/>
            <family val="0"/>
          </rPr>
          <t>Enter the value of response index here</t>
        </r>
      </text>
    </comment>
  </commentList>
</comments>
</file>

<file path=xl/sharedStrings.xml><?xml version="1.0" encoding="utf-8"?>
<sst xmlns="http://schemas.openxmlformats.org/spreadsheetml/2006/main" count="865" uniqueCount="275">
  <si>
    <t>RI</t>
  </si>
  <si>
    <t>NDVI</t>
  </si>
  <si>
    <t>GDD&gt;0</t>
  </si>
  <si>
    <t>lbN/acre</t>
  </si>
  <si>
    <t>Valve setting</t>
  </si>
  <si>
    <t>Actual rate</t>
  </si>
  <si>
    <t>Item</t>
  </si>
  <si>
    <t>Application rate schedule</t>
  </si>
  <si>
    <t>Application rate table (NDVI Vs. Valve Setting)</t>
  </si>
  <si>
    <t>Instructions</t>
  </si>
  <si>
    <t xml:space="preserve"> </t>
  </si>
  <si>
    <t>INSEY</t>
  </si>
  <si>
    <t>YP0</t>
  </si>
  <si>
    <t>Max Yield, bu/ac</t>
  </si>
  <si>
    <t>UAN = 1.27 kg/l</t>
  </si>
  <si>
    <t>INPUTS</t>
  </si>
  <si>
    <t>including 60% NUE</t>
  </si>
  <si>
    <t>lb N acre * 0.0875 = ml N/m2</t>
  </si>
  <si>
    <t>lb N/acre*0.3128= ml UAN/m2 (no efficiency factor)</t>
  </si>
  <si>
    <t>ml UAN/m2 *3.196 = lb N/ac</t>
  </si>
  <si>
    <t>NDVI (FP)</t>
  </si>
  <si>
    <t>NDVI (NRS)</t>
  </si>
  <si>
    <t>NUE</t>
  </si>
  <si>
    <t>0.5, 0.6, or 0.7</t>
  </si>
  <si>
    <t>Grower/Field Name</t>
  </si>
  <si>
    <t>Field Description</t>
  </si>
  <si>
    <t>Speed</t>
  </si>
  <si>
    <t>Pressure</t>
  </si>
  <si>
    <t>Settings</t>
  </si>
  <si>
    <t>psi</t>
  </si>
  <si>
    <t>mph</t>
  </si>
  <si>
    <t>Application Rate</t>
  </si>
  <si>
    <t>Pressure vs. Speed Table</t>
  </si>
  <si>
    <t>Index</t>
  </si>
  <si>
    <t>Speed (mph)</t>
  </si>
  <si>
    <t>Calculated Pressure</t>
  </si>
  <si>
    <t>Nozzle Settings</t>
  </si>
  <si>
    <t>Integer Pressure</t>
  </si>
  <si>
    <t>Data file name (8.3 format)</t>
  </si>
  <si>
    <t>YPNRS*</t>
  </si>
  <si>
    <t>YPN*</t>
  </si>
  <si>
    <t>*winter wheat option fertilizes each plot based on YP0 multipled times RI (which equals YPN)</t>
  </si>
  <si>
    <t>* spring wheat option fertilizes all plots to Maximum Yield predicted in NRS or YPNRS</t>
  </si>
  <si>
    <t>Algorithm Selection Table</t>
  </si>
  <si>
    <t>Name</t>
  </si>
  <si>
    <t>Coefficient</t>
  </si>
  <si>
    <t>Current Selection</t>
  </si>
  <si>
    <t>Algorithm</t>
  </si>
  <si>
    <t>lb of N/acre</t>
  </si>
  <si>
    <t>Rate (lbN/acre)</t>
  </si>
  <si>
    <t>Yield Potential Curve</t>
  </si>
  <si>
    <t>YP0+1STD</t>
  </si>
  <si>
    <t>.</t>
  </si>
  <si>
    <t>Injection, y/n</t>
  </si>
  <si>
    <t>Flat rate, y/n</t>
  </si>
  <si>
    <t>Nozzle Setting</t>
  </si>
  <si>
    <t xml:space="preserve">Nozzle setting </t>
  </si>
  <si>
    <t>N rate, lb N/ac</t>
  </si>
  <si>
    <t>MY</t>
  </si>
  <si>
    <t>NVTable_MY</t>
  </si>
  <si>
    <t>NVTable_RI</t>
  </si>
  <si>
    <t>N source</t>
  </si>
  <si>
    <t>N source selection</t>
  </si>
  <si>
    <t>Density (kg/L)</t>
  </si>
  <si>
    <t>Specific gravity (lb/gal)</t>
  </si>
  <si>
    <t>GPA injection</t>
  </si>
  <si>
    <t>Nozzle 1</t>
  </si>
  <si>
    <t>Nozzle 2</t>
  </si>
  <si>
    <t>Nozzle 3</t>
  </si>
  <si>
    <t>Conv. Factor</t>
  </si>
  <si>
    <t>Soln</t>
  </si>
  <si>
    <t>Flow rate, GPM</t>
  </si>
  <si>
    <t>Water</t>
  </si>
  <si>
    <t>N rate, lb N/gal</t>
  </si>
  <si>
    <t>Algorithm Selection Table (spring wheat)</t>
  </si>
  <si>
    <t>Algorithm Selection Table (winter wheat)</t>
  </si>
  <si>
    <t>Coeffcient</t>
  </si>
  <si>
    <t>Algorithm Selection Table (corn)</t>
  </si>
  <si>
    <t>Irrigated</t>
  </si>
  <si>
    <t>Dryland</t>
  </si>
  <si>
    <t>Crop</t>
  </si>
  <si>
    <t>Crop Selection</t>
  </si>
  <si>
    <t>Spring Wheat</t>
  </si>
  <si>
    <t>Corn</t>
  </si>
  <si>
    <t>Winter Wheat</t>
  </si>
  <si>
    <t>Selection</t>
  </si>
  <si>
    <t>ATG Input Page</t>
  </si>
  <si>
    <t>Constant</t>
  </si>
  <si>
    <t>%N</t>
  </si>
  <si>
    <t>Conversion</t>
  </si>
  <si>
    <t>Flat rate</t>
  </si>
  <si>
    <t>Nozzle spacing, in</t>
  </si>
  <si>
    <t>Nozzle Spacing</t>
  </si>
  <si>
    <t>Density</t>
  </si>
  <si>
    <t>Conversion Factor</t>
  </si>
  <si>
    <t>Solution</t>
  </si>
  <si>
    <t>gal/acre</t>
  </si>
  <si>
    <t>This sheet calculates maximum required pump flowrate and pressure for UAN fertilizer.</t>
  </si>
  <si>
    <t>% UAN</t>
  </si>
  <si>
    <t>%</t>
  </si>
  <si>
    <t>density</t>
  </si>
  <si>
    <t>lb/gal</t>
  </si>
  <si>
    <t>boom width</t>
  </si>
  <si>
    <t>ft</t>
  </si>
  <si>
    <t>max application rate</t>
  </si>
  <si>
    <t>desired nozzle pressure</t>
  </si>
  <si>
    <t>max pres drop along boom</t>
  </si>
  <si>
    <t>max pres drop from pump to boom</t>
  </si>
  <si>
    <t>max flowrate</t>
  </si>
  <si>
    <t>gpm</t>
  </si>
  <si>
    <t>pump outlet pressure @ max flow</t>
  </si>
  <si>
    <t>UAN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</si>
  <si>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</si>
  <si>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1X nozzle</t>
  </si>
  <si>
    <t>2X nozzle</t>
  </si>
  <si>
    <t>4X nozzle</t>
  </si>
  <si>
    <t>target operating speed</t>
  </si>
  <si>
    <t>Pump - Max Flow at Target PSI</t>
  </si>
  <si>
    <t>Q (gpm)</t>
  </si>
  <si>
    <t>A</t>
  </si>
  <si>
    <t>B</t>
  </si>
  <si>
    <t>Pressure (psi) 2002</t>
  </si>
  <si>
    <t>Target Speed</t>
  </si>
  <si>
    <t>Target Pressure</t>
  </si>
  <si>
    <t>P (pres)</t>
  </si>
  <si>
    <t>App rate</t>
  </si>
  <si>
    <t>lbs N/gal</t>
  </si>
  <si>
    <t>Desired rate, lb N/ac</t>
  </si>
  <si>
    <t>Valve Status</t>
  </si>
  <si>
    <t>Weed Spraying</t>
  </si>
  <si>
    <t>NVTable_Weed</t>
  </si>
  <si>
    <t>Minimum Label GPA</t>
  </si>
  <si>
    <t>Maximum Label GPA</t>
  </si>
  <si>
    <t>NDVI (BS_NRS)</t>
  </si>
  <si>
    <t>Noz 1 GPA</t>
  </si>
  <si>
    <t>Noz 2 GPA</t>
  </si>
  <si>
    <t>Noz 3 GPA</t>
  </si>
  <si>
    <t>Test Column</t>
  </si>
  <si>
    <t>Max oz AI/ac</t>
  </si>
  <si>
    <t>Desired App rate GPA</t>
  </si>
  <si>
    <t>Concentration oz/gal</t>
  </si>
  <si>
    <t>Min Label</t>
  </si>
  <si>
    <t>Max Label</t>
  </si>
  <si>
    <t>Target Pressure (psi)</t>
  </si>
  <si>
    <t>Target Speed (mph)</t>
  </si>
  <si>
    <t>Minimum speed (mph)</t>
  </si>
  <si>
    <t>GPA</t>
  </si>
  <si>
    <t>Desired GPA</t>
  </si>
  <si>
    <t>Flat rate app rate GPA</t>
  </si>
  <si>
    <t>Flat rate app rate oz/ac</t>
  </si>
  <si>
    <t>App rate lb N/ac</t>
  </si>
  <si>
    <t>Spot Spray</t>
  </si>
  <si>
    <t>Flat &amp; Spot Spray</t>
  </si>
  <si>
    <t>Test</t>
  </si>
  <si>
    <t>NDVI Threshold</t>
  </si>
  <si>
    <t>Valve Setting to Achieve Desired GPA</t>
  </si>
  <si>
    <t>Nozzle Height</t>
  </si>
  <si>
    <t>Max oz AI/ac (Spot)</t>
  </si>
  <si>
    <t>Nozzle Selection</t>
  </si>
  <si>
    <t>Currrent Selection</t>
  </si>
  <si>
    <t>"Flat GPA"</t>
  </si>
  <si>
    <t>Flat rate oz/ac</t>
  </si>
  <si>
    <t>Minimum Speed</t>
  </si>
  <si>
    <t>Concentration, oz/gal</t>
  </si>
  <si>
    <t>Desired Speed</t>
  </si>
  <si>
    <t>Desired Pressure</t>
  </si>
  <si>
    <t>Amsul</t>
  </si>
  <si>
    <t>Desired Max GPA</t>
  </si>
  <si>
    <t>Flat oz/ac</t>
  </si>
  <si>
    <t>TP6504</t>
  </si>
  <si>
    <t>TP6503E</t>
  </si>
  <si>
    <t>TP6505E</t>
  </si>
  <si>
    <t>Even flat spray tips (TP-E)</t>
  </si>
  <si>
    <t>Visiflo Flat spray tips (TP)</t>
  </si>
  <si>
    <t>RI-EY</t>
  </si>
  <si>
    <t>NVTable_RI_EY</t>
  </si>
  <si>
    <t>RI_EY</t>
  </si>
  <si>
    <t>N, lbs/gal</t>
  </si>
  <si>
    <t>None</t>
  </si>
  <si>
    <t>Warnings</t>
  </si>
  <si>
    <t>Label Rate Requirements Met</t>
  </si>
  <si>
    <t>Application Range Below Label Rate - Change Nozzle Configuration or Increase Application Rate</t>
  </si>
  <si>
    <t>Select second nozzle,  decrease application rate, or increase nozzle size</t>
  </si>
  <si>
    <t>Don't need second nozzle - select NONE</t>
  </si>
  <si>
    <t>Pres</t>
  </si>
  <si>
    <t>GPM</t>
  </si>
  <si>
    <t>TP650067</t>
  </si>
  <si>
    <t>TP6501</t>
  </si>
  <si>
    <t>TP6502</t>
  </si>
  <si>
    <t>TP65015</t>
  </si>
  <si>
    <t>TP6503</t>
  </si>
  <si>
    <t>TP6505</t>
  </si>
  <si>
    <t>TP6506</t>
  </si>
  <si>
    <t>TP6508</t>
  </si>
  <si>
    <t>TP6510</t>
  </si>
  <si>
    <t>Visiflo Flat spray tips</t>
  </si>
  <si>
    <t>TP800067</t>
  </si>
  <si>
    <t>TP8001</t>
  </si>
  <si>
    <t>TP80015</t>
  </si>
  <si>
    <t>TP8002</t>
  </si>
  <si>
    <t>TP8003</t>
  </si>
  <si>
    <t>TP8004</t>
  </si>
  <si>
    <t>TP8005</t>
  </si>
  <si>
    <t>TP8006</t>
  </si>
  <si>
    <t>TP8008</t>
  </si>
  <si>
    <t>TP8010</t>
  </si>
  <si>
    <t>TP6501E</t>
  </si>
  <si>
    <t>TP65015E</t>
  </si>
  <si>
    <t>TP6502E</t>
  </si>
  <si>
    <t>TP6504E</t>
  </si>
  <si>
    <t>TP6506E</t>
  </si>
  <si>
    <t>TP6508E</t>
  </si>
  <si>
    <t>TP6510E</t>
  </si>
  <si>
    <t>TP80015E</t>
  </si>
  <si>
    <t>TP8002E</t>
  </si>
  <si>
    <t>TP8003E</t>
  </si>
  <si>
    <t>TP8004E</t>
  </si>
  <si>
    <t>TP8005E</t>
  </si>
  <si>
    <t>TP8006E</t>
  </si>
  <si>
    <t>TP8008E</t>
  </si>
  <si>
    <t>TP8010E</t>
  </si>
  <si>
    <t>TP8001E</t>
  </si>
  <si>
    <t>Active spray width (Nz 1)</t>
  </si>
  <si>
    <t>Nozzle Angle (Nz 1)</t>
  </si>
  <si>
    <t>Active spray width (Nz2)</t>
  </si>
  <si>
    <t>Nozzle Angle (Nz2)</t>
  </si>
  <si>
    <t>MUST select second nozzle</t>
  </si>
  <si>
    <t>RI_ADJ</t>
  </si>
  <si>
    <t>NVTable_RI_ADJ</t>
  </si>
  <si>
    <t>TeeJet StreamJet Tips</t>
  </si>
  <si>
    <t>GPM (Q)</t>
  </si>
  <si>
    <t>TP0004-SS</t>
  </si>
  <si>
    <t>TP0006-SS</t>
  </si>
  <si>
    <t>TP0015-SS</t>
  </si>
  <si>
    <t>TP0008-SS</t>
  </si>
  <si>
    <t>Herbicide Application</t>
  </si>
  <si>
    <t>Noz ID</t>
  </si>
  <si>
    <t>TP0010-SS</t>
  </si>
  <si>
    <t>Nitrogen Application</t>
  </si>
  <si>
    <t>TP0020-SS</t>
  </si>
  <si>
    <t>TP0030-SS</t>
  </si>
  <si>
    <t>No.</t>
  </si>
  <si>
    <t>Valve</t>
  </si>
  <si>
    <t>Test Col</t>
  </si>
  <si>
    <t>Test col</t>
  </si>
  <si>
    <t>n</t>
  </si>
  <si>
    <t>2002 eq. (y=0.5005*exp(INSEY*267.65)</t>
  </si>
  <si>
    <t>2003 eq. (y=0.359*exp(INSEY*324.4)</t>
  </si>
  <si>
    <t>To determine N application (post-processing)</t>
  </si>
  <si>
    <t>m</t>
  </si>
  <si>
    <t>b</t>
  </si>
  <si>
    <t>Decrease Operating Speed</t>
  </si>
  <si>
    <t>Decrease Operating Pressure or Increase Operating Speed</t>
  </si>
  <si>
    <t>Increase Operating Pressure or Decrease Operating Speed</t>
  </si>
  <si>
    <t>Increase Operating Speed</t>
  </si>
  <si>
    <t>Decrease Nozzle Size(s) or Increase Application Rate</t>
  </si>
  <si>
    <t>Increase Nozzle Size(s) or Decrease Application Rate</t>
  </si>
  <si>
    <t>Increase Application Rate or Decrease Nozzle Size(s)</t>
  </si>
  <si>
    <t>Programmable Algorithm</t>
  </si>
  <si>
    <t>Blank</t>
  </si>
  <si>
    <t>NVTable_Blank</t>
  </si>
  <si>
    <t>Maximum Speed (mph)</t>
  </si>
  <si>
    <t>Maximum speed (mph)</t>
  </si>
  <si>
    <t>Joe Schmo</t>
  </si>
  <si>
    <t>schmo</t>
  </si>
  <si>
    <t>Data file name (8 characters max)</t>
  </si>
  <si>
    <t>Avg Rate</t>
  </si>
  <si>
    <t>OSU</t>
  </si>
  <si>
    <t>JD 2520</t>
  </si>
  <si>
    <t>testcorn</t>
  </si>
  <si>
    <t>TP65005</t>
  </si>
  <si>
    <t>SJ3-015</t>
  </si>
  <si>
    <t>SJ3-03</t>
  </si>
  <si>
    <t>SJ3-06</t>
  </si>
  <si>
    <t>2005 eq. (y=0.522*exp(INSEY*274.7), 2006 eq.(y=0.532*exp(INSEY*270.1)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</si>
</sst>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0"/>
    <numFmt numFmtId="168" formatCode="0.000000000"/>
    <numFmt numFmtId="169" formatCode="0.00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2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8"/>
      <name val="Tahoma"/>
      <family val="0"/>
    </font>
    <font>
      <sz val="15.75"/>
      <name val="Arial"/>
      <family val="0"/>
    </font>
    <font>
      <b/>
      <sz val="19"/>
      <name val="Arial"/>
      <family val="0"/>
    </font>
    <font>
      <b/>
      <sz val="15.75"/>
      <name val="Arial"/>
      <family val="0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8"/>
      <name val="Tahoma"/>
      <family val="0"/>
    </font>
    <font>
      <b/>
      <sz val="25.25"/>
      <name val="Arial"/>
      <family val="0"/>
    </font>
    <font>
      <sz val="19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vertAlign val="subscript"/>
      <sz val="10"/>
      <name val="Arial"/>
      <family val="2"/>
    </font>
    <font>
      <b/>
      <sz val="23.75"/>
      <name val="Arial"/>
      <family val="0"/>
    </font>
    <font>
      <b/>
      <sz val="17.5"/>
      <name val="Arial"/>
      <family val="0"/>
    </font>
    <font>
      <sz val="17.5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3" borderId="0" xfId="0" applyFill="1" applyBorder="1" applyAlignment="1">
      <alignment/>
    </xf>
    <xf numFmtId="0" fontId="0" fillId="3" borderId="0" xfId="0" applyFill="1" applyBorder="1" applyAlignment="1" quotePrefix="1">
      <alignment horizontal="left"/>
    </xf>
    <xf numFmtId="0" fontId="0" fillId="3" borderId="0" xfId="0" applyFill="1" applyBorder="1" applyAlignment="1">
      <alignment horizontal="left"/>
    </xf>
    <xf numFmtId="0" fontId="0" fillId="3" borderId="1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 horizontal="right"/>
    </xf>
    <xf numFmtId="0" fontId="14" fillId="3" borderId="2" xfId="0" applyFont="1" applyFill="1" applyBorder="1" applyAlignment="1" quotePrefix="1">
      <alignment horizontal="right"/>
    </xf>
    <xf numFmtId="0" fontId="0" fillId="3" borderId="0" xfId="0" applyFill="1" applyAlignment="1">
      <alignment horizontal="center"/>
    </xf>
    <xf numFmtId="0" fontId="19" fillId="3" borderId="0" xfId="0" applyFont="1" applyFill="1" applyBorder="1" applyAlignment="1">
      <alignment horizontal="left"/>
    </xf>
    <xf numFmtId="0" fontId="20" fillId="3" borderId="0" xfId="0" applyFont="1" applyFill="1" applyAlignment="1">
      <alignment/>
    </xf>
    <xf numFmtId="0" fontId="19" fillId="3" borderId="0" xfId="0" applyFont="1" applyFill="1" applyBorder="1" applyAlignment="1" quotePrefix="1">
      <alignment horizontal="right"/>
    </xf>
    <xf numFmtId="0" fontId="20" fillId="3" borderId="0" xfId="0" applyFont="1" applyFill="1" applyBorder="1" applyAlignment="1">
      <alignment/>
    </xf>
    <xf numFmtId="1" fontId="19" fillId="3" borderId="0" xfId="0" applyNumberFormat="1" applyFont="1" applyFill="1" applyAlignment="1">
      <alignment horizontal="center"/>
    </xf>
    <xf numFmtId="0" fontId="19" fillId="3" borderId="0" xfId="0" applyFont="1" applyFill="1" applyBorder="1" applyAlignment="1">
      <alignment horizontal="right"/>
    </xf>
    <xf numFmtId="0" fontId="20" fillId="3" borderId="0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right"/>
    </xf>
    <xf numFmtId="0" fontId="20" fillId="3" borderId="2" xfId="0" applyFont="1" applyFill="1" applyBorder="1" applyAlignment="1">
      <alignment horizontal="right"/>
    </xf>
    <xf numFmtId="0" fontId="19" fillId="3" borderId="0" xfId="0" applyFont="1" applyFill="1" applyAlignment="1">
      <alignment horizontal="right"/>
    </xf>
    <xf numFmtId="0" fontId="0" fillId="0" borderId="2" xfId="0" applyFill="1" applyBorder="1" applyAlignment="1">
      <alignment/>
    </xf>
    <xf numFmtId="0" fontId="21" fillId="0" borderId="0" xfId="0" applyFont="1" applyFill="1" applyAlignment="1" applyProtection="1">
      <alignment/>
      <protection hidden="1"/>
    </xf>
    <xf numFmtId="0" fontId="10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/>
      <protection locked="0"/>
    </xf>
    <xf numFmtId="0" fontId="4" fillId="4" borderId="0" xfId="0" applyFont="1" applyFill="1" applyAlignment="1" applyProtection="1">
      <alignment/>
      <protection locked="0"/>
    </xf>
    <xf numFmtId="0" fontId="1" fillId="5" borderId="3" xfId="0" applyFont="1" applyFill="1" applyBorder="1" applyAlignment="1" applyProtection="1" quotePrefix="1">
      <alignment horizontal="left"/>
      <protection locked="0"/>
    </xf>
    <xf numFmtId="0" fontId="0" fillId="5" borderId="4" xfId="0" applyFill="1" applyBorder="1" applyAlignment="1" applyProtection="1">
      <alignment/>
      <protection locked="0"/>
    </xf>
    <xf numFmtId="0" fontId="1" fillId="5" borderId="5" xfId="0" applyFont="1" applyFill="1" applyBorder="1" applyAlignment="1" applyProtection="1" quotePrefix="1">
      <alignment horizontal="left"/>
      <protection locked="0"/>
    </xf>
    <xf numFmtId="0" fontId="1" fillId="5" borderId="5" xfId="0" applyFont="1" applyFill="1" applyBorder="1" applyAlignment="1" applyProtection="1">
      <alignment/>
      <protection locked="0"/>
    </xf>
    <xf numFmtId="0" fontId="1" fillId="5" borderId="5" xfId="0" applyFont="1" applyFill="1" applyBorder="1" applyAlignment="1" applyProtection="1">
      <alignment horizontal="left"/>
      <protection locked="0"/>
    </xf>
    <xf numFmtId="0" fontId="1" fillId="5" borderId="3" xfId="0" applyFont="1" applyFill="1" applyBorder="1" applyAlignment="1" applyProtection="1">
      <alignment/>
      <protection locked="0"/>
    </xf>
    <xf numFmtId="0" fontId="1" fillId="5" borderId="4" xfId="0" applyFont="1" applyFill="1" applyBorder="1" applyAlignment="1" applyProtection="1">
      <alignment/>
      <protection locked="0"/>
    </xf>
    <xf numFmtId="0" fontId="1" fillId="5" borderId="6" xfId="0" applyFont="1" applyFill="1" applyBorder="1" applyAlignment="1" applyProtection="1">
      <alignment/>
      <protection locked="0"/>
    </xf>
    <xf numFmtId="0" fontId="0" fillId="5" borderId="3" xfId="0" applyFill="1" applyBorder="1" applyAlignment="1" applyProtection="1">
      <alignment/>
      <protection locked="0"/>
    </xf>
    <xf numFmtId="0" fontId="1" fillId="5" borderId="7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5" borderId="5" xfId="0" applyFill="1" applyBorder="1" applyAlignment="1" applyProtection="1">
      <alignment/>
      <protection locked="0"/>
    </xf>
    <xf numFmtId="0" fontId="0" fillId="6" borderId="0" xfId="0" applyFill="1" applyAlignment="1">
      <alignment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5" borderId="8" xfId="0" applyFont="1" applyFill="1" applyBorder="1" applyAlignment="1" applyProtection="1">
      <alignment horizontal="left"/>
      <protection locked="0"/>
    </xf>
    <xf numFmtId="0" fontId="19" fillId="3" borderId="0" xfId="0" applyFont="1" applyFill="1" applyBorder="1" applyAlignment="1">
      <alignment horizontal="center"/>
    </xf>
    <xf numFmtId="175" fontId="19" fillId="3" borderId="0" xfId="0" applyNumberFormat="1" applyFont="1" applyFill="1" applyAlignment="1">
      <alignment horizontal="center"/>
    </xf>
    <xf numFmtId="0" fontId="1" fillId="5" borderId="9" xfId="0" applyFont="1" applyFill="1" applyBorder="1" applyAlignment="1" applyProtection="1">
      <alignment horizontal="right"/>
      <protection locked="0"/>
    </xf>
    <xf numFmtId="0" fontId="1" fillId="5" borderId="9" xfId="0" applyFont="1" applyFill="1" applyBorder="1" applyAlignment="1" applyProtection="1">
      <alignment/>
      <protection locked="0"/>
    </xf>
    <xf numFmtId="0" fontId="0" fillId="4" borderId="0" xfId="0" applyFill="1" applyAlignment="1" applyProtection="1">
      <alignment horizontal="right"/>
      <protection locked="0"/>
    </xf>
    <xf numFmtId="0" fontId="0" fillId="4" borderId="0" xfId="0" applyFill="1" applyAlignment="1" applyProtection="1">
      <alignment/>
      <protection locked="0"/>
    </xf>
    <xf numFmtId="0" fontId="1" fillId="4" borderId="0" xfId="0" applyFont="1" applyFill="1" applyAlignment="1" applyProtection="1">
      <alignment/>
      <protection locked="0"/>
    </xf>
    <xf numFmtId="0" fontId="0" fillId="4" borderId="0" xfId="0" applyFill="1" applyAlignment="1" applyProtection="1">
      <alignment horizontal="left"/>
      <protection locked="0"/>
    </xf>
    <xf numFmtId="0" fontId="1" fillId="4" borderId="0" xfId="0" applyFont="1" applyFill="1" applyAlignment="1" applyProtection="1" quotePrefix="1">
      <alignment/>
      <protection locked="0"/>
    </xf>
    <xf numFmtId="0" fontId="1" fillId="4" borderId="0" xfId="0" applyFont="1" applyFill="1" applyAlignment="1" applyProtection="1">
      <alignment/>
      <protection locked="0"/>
    </xf>
    <xf numFmtId="0" fontId="1" fillId="4" borderId="0" xfId="0" applyFont="1" applyFill="1" applyBorder="1" applyAlignment="1" applyProtection="1">
      <alignment horizontal="left"/>
      <protection/>
    </xf>
    <xf numFmtId="0" fontId="1" fillId="4" borderId="0" xfId="0" applyFont="1" applyFill="1" applyAlignment="1" applyProtection="1" quotePrefix="1">
      <alignment horizontal="left"/>
      <protection locked="0"/>
    </xf>
    <xf numFmtId="0" fontId="0" fillId="4" borderId="0" xfId="0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0" fillId="4" borderId="0" xfId="0" applyFill="1" applyAlignment="1" applyProtection="1" quotePrefix="1">
      <alignment horizontal="left"/>
      <protection locked="0"/>
    </xf>
    <xf numFmtId="0" fontId="0" fillId="4" borderId="0" xfId="0" applyFill="1" applyAlignment="1" applyProtection="1">
      <alignment/>
      <protection/>
    </xf>
    <xf numFmtId="0" fontId="1" fillId="5" borderId="5" xfId="0" applyFont="1" applyFill="1" applyBorder="1" applyAlignment="1" applyProtection="1">
      <alignment horizontal="right"/>
      <protection locked="0"/>
    </xf>
    <xf numFmtId="175" fontId="1" fillId="6" borderId="5" xfId="0" applyNumberFormat="1" applyFont="1" applyFill="1" applyBorder="1" applyAlignment="1" applyProtection="1">
      <alignment horizontal="right"/>
      <protection/>
    </xf>
    <xf numFmtId="175" fontId="1" fillId="6" borderId="5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6" borderId="5" xfId="0" applyFont="1" applyFill="1" applyBorder="1" applyAlignment="1" applyProtection="1">
      <alignment/>
      <protection locked="0"/>
    </xf>
    <xf numFmtId="175" fontId="1" fillId="6" borderId="5" xfId="0" applyNumberFormat="1" applyFont="1" applyFill="1" applyBorder="1" applyAlignment="1" applyProtection="1">
      <alignment/>
      <protection locked="0"/>
    </xf>
    <xf numFmtId="1" fontId="1" fillId="6" borderId="5" xfId="0" applyNumberFormat="1" applyFont="1" applyFill="1" applyBorder="1" applyAlignment="1" applyProtection="1">
      <alignment/>
      <protection locked="0"/>
    </xf>
    <xf numFmtId="0" fontId="1" fillId="5" borderId="6" xfId="0" applyFont="1" applyFill="1" applyBorder="1" applyAlignment="1" applyProtection="1">
      <alignment horizontal="right"/>
      <protection locked="0"/>
    </xf>
    <xf numFmtId="0" fontId="10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/>
      <protection hidden="1"/>
    </xf>
    <xf numFmtId="0" fontId="10" fillId="3" borderId="0" xfId="0" applyFon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Alignment="1" applyProtection="1" quotePrefix="1">
      <alignment horizontal="left"/>
      <protection hidden="1"/>
    </xf>
    <xf numFmtId="0" fontId="0" fillId="4" borderId="0" xfId="0" applyFill="1" applyAlignment="1" applyProtection="1">
      <alignment horizontal="left"/>
      <protection hidden="1"/>
    </xf>
    <xf numFmtId="0" fontId="1" fillId="5" borderId="9" xfId="0" applyFont="1" applyFill="1" applyBorder="1" applyAlignment="1" applyProtection="1">
      <alignment horizontal="left"/>
      <protection hidden="1"/>
    </xf>
    <xf numFmtId="0" fontId="1" fillId="4" borderId="0" xfId="0" applyFont="1" applyFill="1" applyAlignment="1" applyProtection="1" quotePrefix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4" borderId="0" xfId="0" applyFill="1" applyAlignment="1" applyProtection="1" quotePrefix="1">
      <alignment horizontal="left"/>
      <protection hidden="1"/>
    </xf>
    <xf numFmtId="0" fontId="4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 horizontal="left"/>
      <protection hidden="1"/>
    </xf>
    <xf numFmtId="0" fontId="1" fillId="5" borderId="9" xfId="0" applyFont="1" applyFill="1" applyBorder="1" applyAlignment="1" applyProtection="1" quotePrefix="1">
      <alignment horizontal="left"/>
      <protection hidden="1"/>
    </xf>
    <xf numFmtId="0" fontId="0" fillId="4" borderId="0" xfId="0" applyFill="1" applyAlignment="1" applyProtection="1">
      <alignment horizontal="center"/>
      <protection hidden="1"/>
    </xf>
    <xf numFmtId="0" fontId="1" fillId="4" borderId="2" xfId="0" applyFont="1" applyFill="1" applyBorder="1" applyAlignment="1" applyProtection="1">
      <alignment horizontal="left"/>
      <protection hidden="1"/>
    </xf>
    <xf numFmtId="0" fontId="1" fillId="4" borderId="0" xfId="0" applyFont="1" applyFill="1" applyBorder="1" applyAlignment="1" applyProtection="1">
      <alignment horizontal="left"/>
      <protection hidden="1"/>
    </xf>
    <xf numFmtId="0" fontId="1" fillId="4" borderId="0" xfId="0" applyFont="1" applyFill="1" applyAlignment="1" applyProtection="1">
      <alignment/>
      <protection hidden="1"/>
    </xf>
    <xf numFmtId="2" fontId="1" fillId="5" borderId="9" xfId="0" applyNumberFormat="1" applyFont="1" applyFill="1" applyBorder="1" applyAlignment="1" applyProtection="1">
      <alignment horizontal="left"/>
      <protection hidden="1"/>
    </xf>
    <xf numFmtId="0" fontId="1" fillId="5" borderId="10" xfId="0" applyFont="1" applyFill="1" applyBorder="1" applyAlignment="1" applyProtection="1">
      <alignment/>
      <protection hidden="1"/>
    </xf>
    <xf numFmtId="0" fontId="1" fillId="5" borderId="11" xfId="0" applyFont="1" applyFill="1" applyBorder="1" applyAlignment="1" applyProtection="1">
      <alignment/>
      <protection hidden="1"/>
    </xf>
    <xf numFmtId="0" fontId="1" fillId="5" borderId="12" xfId="0" applyFont="1" applyFill="1" applyBorder="1" applyAlignment="1" applyProtection="1">
      <alignment/>
      <protection hidden="1"/>
    </xf>
    <xf numFmtId="0" fontId="0" fillId="5" borderId="11" xfId="0" applyFill="1" applyBorder="1" applyAlignment="1" applyProtection="1">
      <alignment/>
      <protection hidden="1"/>
    </xf>
    <xf numFmtId="0" fontId="1" fillId="5" borderId="11" xfId="0" applyFont="1" applyFill="1" applyBorder="1" applyAlignment="1" applyProtection="1" quotePrefix="1">
      <alignment horizontal="left"/>
      <protection hidden="1"/>
    </xf>
    <xf numFmtId="0" fontId="0" fillId="5" borderId="12" xfId="0" applyFill="1" applyBorder="1" applyAlignment="1" applyProtection="1">
      <alignment/>
      <protection hidden="1"/>
    </xf>
    <xf numFmtId="0" fontId="1" fillId="5" borderId="9" xfId="0" applyFont="1" applyFill="1" applyBorder="1" applyAlignment="1" applyProtection="1">
      <alignment/>
      <protection hidden="1"/>
    </xf>
    <xf numFmtId="0" fontId="0" fillId="7" borderId="13" xfId="0" applyFill="1" applyBorder="1" applyAlignment="1" applyProtection="1">
      <alignment/>
      <protection hidden="1"/>
    </xf>
    <xf numFmtId="0" fontId="0" fillId="7" borderId="13" xfId="0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0" xfId="0" applyFill="1" applyBorder="1" applyAlignment="1" applyProtection="1" quotePrefix="1">
      <alignment horizontal="left"/>
      <protection hidden="1"/>
    </xf>
    <xf numFmtId="0" fontId="0" fillId="7" borderId="0" xfId="0" applyFill="1" applyBorder="1" applyAlignment="1" applyProtection="1">
      <alignment horizontal="left"/>
      <protection hidden="1"/>
    </xf>
    <xf numFmtId="0" fontId="15" fillId="7" borderId="0" xfId="0" applyFont="1" applyFill="1" applyBorder="1" applyAlignment="1" applyProtection="1" quotePrefix="1">
      <alignment horizontal="left"/>
      <protection hidden="1"/>
    </xf>
    <xf numFmtId="0" fontId="0" fillId="7" borderId="0" xfId="0" applyFill="1" applyAlignment="1" applyProtection="1">
      <alignment/>
      <protection hidden="1"/>
    </xf>
    <xf numFmtId="0" fontId="0" fillId="7" borderId="1" xfId="0" applyFill="1" applyBorder="1" applyAlignment="1" applyProtection="1">
      <alignment/>
      <protection hidden="1"/>
    </xf>
    <xf numFmtId="0" fontId="1" fillId="7" borderId="0" xfId="0" applyFont="1" applyFill="1" applyBorder="1" applyAlignment="1" applyProtection="1">
      <alignment horizontal="center"/>
      <protection hidden="1"/>
    </xf>
    <xf numFmtId="0" fontId="11" fillId="7" borderId="0" xfId="0" applyFont="1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2" xfId="0" applyFill="1" applyBorder="1" applyAlignment="1" applyProtection="1">
      <alignment horizontal="right"/>
      <protection hidden="1"/>
    </xf>
    <xf numFmtId="0" fontId="14" fillId="7" borderId="2" xfId="0" applyFont="1" applyFill="1" applyBorder="1" applyAlignment="1" applyProtection="1" quotePrefix="1">
      <alignment horizontal="right"/>
      <protection hidden="1"/>
    </xf>
    <xf numFmtId="0" fontId="0" fillId="7" borderId="0" xfId="0" applyFill="1" applyAlignment="1" applyProtection="1">
      <alignment horizontal="center"/>
      <protection hidden="1"/>
    </xf>
    <xf numFmtId="0" fontId="0" fillId="7" borderId="0" xfId="0" applyFill="1" applyAlignment="1" applyProtection="1">
      <alignment horizontal="left"/>
      <protection hidden="1"/>
    </xf>
    <xf numFmtId="0" fontId="0" fillId="7" borderId="1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2" xfId="0" applyFill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14" fillId="4" borderId="0" xfId="0" applyFont="1" applyFill="1" applyAlignment="1" applyProtection="1">
      <alignment/>
      <protection hidden="1"/>
    </xf>
    <xf numFmtId="0" fontId="14" fillId="4" borderId="0" xfId="0" applyFont="1" applyFill="1" applyAlignment="1" applyProtection="1" quotePrefix="1">
      <alignment horizontal="left"/>
      <protection hidden="1"/>
    </xf>
    <xf numFmtId="0" fontId="0" fillId="7" borderId="2" xfId="0" applyFill="1" applyBorder="1" applyAlignment="1" applyProtection="1" quotePrefix="1">
      <alignment horizontal="right"/>
      <protection hidden="1"/>
    </xf>
    <xf numFmtId="0" fontId="1" fillId="5" borderId="9" xfId="0" applyFont="1" applyFill="1" applyBorder="1" applyAlignment="1" applyProtection="1">
      <alignment horizontal="right"/>
      <protection hidden="1"/>
    </xf>
    <xf numFmtId="175" fontId="1" fillId="6" borderId="9" xfId="0" applyNumberFormat="1" applyFont="1" applyFill="1" applyBorder="1" applyAlignment="1" applyProtection="1">
      <alignment horizontal="right"/>
      <protection hidden="1"/>
    </xf>
    <xf numFmtId="0" fontId="1" fillId="5" borderId="5" xfId="0" applyFont="1" applyFill="1" applyBorder="1" applyAlignment="1" applyProtection="1">
      <alignment/>
      <protection hidden="1"/>
    </xf>
    <xf numFmtId="0" fontId="1" fillId="5" borderId="14" xfId="0" applyFont="1" applyFill="1" applyBorder="1" applyAlignment="1" applyProtection="1">
      <alignment/>
      <protection hidden="1"/>
    </xf>
    <xf numFmtId="0" fontId="0" fillId="5" borderId="11" xfId="0" applyFill="1" applyBorder="1" applyAlignment="1" applyProtection="1">
      <alignment horizontal="left"/>
      <protection hidden="1"/>
    </xf>
    <xf numFmtId="0" fontId="0" fillId="5" borderId="12" xfId="0" applyFill="1" applyBorder="1" applyAlignment="1" applyProtection="1">
      <alignment horizontal="left"/>
      <protection hidden="1"/>
    </xf>
    <xf numFmtId="0" fontId="0" fillId="5" borderId="5" xfId="0" applyFill="1" applyBorder="1" applyAlignment="1" applyProtection="1">
      <alignment/>
      <protection hidden="1"/>
    </xf>
    <xf numFmtId="0" fontId="0" fillId="5" borderId="5" xfId="0" applyFill="1" applyBorder="1" applyAlignment="1" applyProtection="1">
      <alignment horizontal="right"/>
      <protection hidden="1"/>
    </xf>
    <xf numFmtId="0" fontId="0" fillId="5" borderId="9" xfId="0" applyFill="1" applyBorder="1" applyAlignment="1" applyProtection="1">
      <alignment/>
      <protection hidden="1"/>
    </xf>
    <xf numFmtId="0" fontId="0" fillId="7" borderId="2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 quotePrefix="1">
      <alignment horizontal="left"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19" fillId="3" borderId="0" xfId="0" applyFont="1" applyFill="1" applyBorder="1" applyAlignment="1" applyProtection="1">
      <alignment horizontal="left"/>
      <protection hidden="1"/>
    </xf>
    <xf numFmtId="0" fontId="20" fillId="3" borderId="0" xfId="0" applyFont="1" applyFill="1" applyAlignment="1" applyProtection="1">
      <alignment/>
      <protection hidden="1"/>
    </xf>
    <xf numFmtId="0" fontId="19" fillId="3" borderId="0" xfId="0" applyFont="1" applyFill="1" applyBorder="1" applyAlignment="1" applyProtection="1">
      <alignment/>
      <protection hidden="1"/>
    </xf>
    <xf numFmtId="0" fontId="19" fillId="3" borderId="0" xfId="0" applyFont="1" applyFill="1" applyBorder="1" applyAlignment="1" applyProtection="1" quotePrefix="1">
      <alignment horizontal="right"/>
      <protection hidden="1"/>
    </xf>
    <xf numFmtId="0" fontId="20" fillId="3" borderId="0" xfId="0" applyFont="1" applyFill="1" applyBorder="1" applyAlignment="1" applyProtection="1">
      <alignment/>
      <protection hidden="1"/>
    </xf>
    <xf numFmtId="1" fontId="19" fillId="3" borderId="0" xfId="0" applyNumberFormat="1" applyFont="1" applyFill="1" applyAlignment="1" applyProtection="1">
      <alignment horizontal="center"/>
      <protection hidden="1"/>
    </xf>
    <xf numFmtId="0" fontId="0" fillId="3" borderId="1" xfId="0" applyFill="1" applyBorder="1" applyAlignment="1" applyProtection="1">
      <alignment/>
      <protection hidden="1"/>
    </xf>
    <xf numFmtId="0" fontId="19" fillId="3" borderId="0" xfId="0" applyFont="1" applyFill="1" applyBorder="1" applyAlignment="1" applyProtection="1">
      <alignment horizontal="right"/>
      <protection hidden="1"/>
    </xf>
    <xf numFmtId="0" fontId="20" fillId="3" borderId="0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/>
      <protection hidden="1"/>
    </xf>
    <xf numFmtId="0" fontId="19" fillId="3" borderId="2" xfId="0" applyFont="1" applyFill="1" applyBorder="1" applyAlignment="1" applyProtection="1">
      <alignment horizontal="right"/>
      <protection hidden="1"/>
    </xf>
    <xf numFmtId="0" fontId="20" fillId="3" borderId="2" xfId="0" applyFont="1" applyFill="1" applyBorder="1" applyAlignment="1" applyProtection="1">
      <alignment horizontal="right"/>
      <protection hidden="1"/>
    </xf>
    <xf numFmtId="0" fontId="0" fillId="3" borderId="2" xfId="0" applyFill="1" applyBorder="1" applyAlignment="1" applyProtection="1">
      <alignment horizontal="right"/>
      <protection hidden="1"/>
    </xf>
    <xf numFmtId="0" fontId="14" fillId="3" borderId="2" xfId="0" applyFont="1" applyFill="1" applyBorder="1" applyAlignment="1" applyProtection="1" quotePrefix="1">
      <alignment horizontal="right"/>
      <protection hidden="1"/>
    </xf>
    <xf numFmtId="0" fontId="19" fillId="3" borderId="0" xfId="0" applyFont="1" applyFill="1" applyAlignment="1" applyProtection="1">
      <alignment horizontal="right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2" fontId="0" fillId="0" borderId="0" xfId="0" applyNumberFormat="1" applyFill="1" applyAlignment="1" applyProtection="1">
      <alignment/>
      <protection hidden="1"/>
    </xf>
    <xf numFmtId="0" fontId="0" fillId="4" borderId="0" xfId="0" applyFill="1" applyAlignment="1" applyProtection="1">
      <alignment horizontal="right"/>
      <protection hidden="1"/>
    </xf>
    <xf numFmtId="0" fontId="1" fillId="6" borderId="9" xfId="0" applyFont="1" applyFill="1" applyBorder="1" applyAlignment="1" applyProtection="1">
      <alignment horizontal="left"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5" fontId="1" fillId="5" borderId="9" xfId="0" applyNumberFormat="1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right"/>
      <protection hidden="1"/>
    </xf>
    <xf numFmtId="2" fontId="0" fillId="3" borderId="0" xfId="0" applyNumberFormat="1" applyFill="1" applyAlignment="1" applyProtection="1">
      <alignment/>
      <protection hidden="1"/>
    </xf>
    <xf numFmtId="2" fontId="1" fillId="6" borderId="5" xfId="0" applyNumberFormat="1" applyFont="1" applyFill="1" applyBorder="1" applyAlignment="1" applyProtection="1">
      <alignment horizontal="left"/>
      <protection/>
    </xf>
    <xf numFmtId="0" fontId="1" fillId="6" borderId="9" xfId="0" applyFont="1" applyFill="1" applyBorder="1" applyAlignment="1" applyProtection="1">
      <alignment horizontal="right"/>
      <protection/>
    </xf>
    <xf numFmtId="0" fontId="1" fillId="5" borderId="6" xfId="0" applyFont="1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 horizontal="right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0" fillId="7" borderId="0" xfId="0" applyFill="1" applyAlignment="1" applyProtection="1">
      <alignment horizontal="right"/>
      <protection hidden="1"/>
    </xf>
    <xf numFmtId="0" fontId="1" fillId="5" borderId="10" xfId="0" applyFont="1" applyFill="1" applyBorder="1" applyAlignment="1" applyProtection="1">
      <alignment horizontal="left"/>
      <protection hidden="1"/>
    </xf>
    <xf numFmtId="0" fontId="1" fillId="5" borderId="5" xfId="0" applyFont="1" applyFill="1" applyBorder="1" applyAlignment="1" applyProtection="1">
      <alignment horizontal="left"/>
      <protection hidden="1"/>
    </xf>
    <xf numFmtId="0" fontId="12" fillId="5" borderId="9" xfId="0" applyFont="1" applyFill="1" applyBorder="1" applyAlignment="1" applyProtection="1">
      <alignment/>
      <protection hidden="1"/>
    </xf>
    <xf numFmtId="175" fontId="1" fillId="6" borderId="9" xfId="0" applyNumberFormat="1" applyFont="1" applyFill="1" applyBorder="1" applyAlignment="1" applyProtection="1">
      <alignment/>
      <protection hidden="1"/>
    </xf>
    <xf numFmtId="1" fontId="12" fillId="6" borderId="9" xfId="0" applyNumberFormat="1" applyFont="1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4" fillId="4" borderId="0" xfId="0" applyFont="1" applyFill="1" applyBorder="1" applyAlignment="1" applyProtection="1">
      <alignment horizontal="right"/>
      <protection hidden="1"/>
    </xf>
    <xf numFmtId="0" fontId="4" fillId="4" borderId="0" xfId="0" applyFont="1" applyFill="1" applyBorder="1" applyAlignment="1" applyProtection="1">
      <alignment horizontal="left"/>
      <protection hidden="1"/>
    </xf>
    <xf numFmtId="0" fontId="4" fillId="4" borderId="0" xfId="0" applyFont="1" applyFill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12" fillId="6" borderId="15" xfId="0" applyFont="1" applyFill="1" applyBorder="1" applyAlignment="1" applyProtection="1">
      <alignment horizontal="right"/>
      <protection hidden="1"/>
    </xf>
    <xf numFmtId="0" fontId="12" fillId="6" borderId="16" xfId="0" applyFont="1" applyFill="1" applyBorder="1" applyAlignment="1" applyProtection="1">
      <alignment horizontal="right"/>
      <protection hidden="1"/>
    </xf>
    <xf numFmtId="0" fontId="12" fillId="6" borderId="17" xfId="0" applyFont="1" applyFill="1" applyBorder="1" applyAlignment="1" applyProtection="1">
      <alignment horizontal="right"/>
      <protection hidden="1"/>
    </xf>
    <xf numFmtId="0" fontId="12" fillId="6" borderId="9" xfId="0" applyFont="1" applyFill="1" applyBorder="1" applyAlignment="1" applyProtection="1">
      <alignment horizontal="right"/>
      <protection hidden="1"/>
    </xf>
    <xf numFmtId="0" fontId="12" fillId="6" borderId="18" xfId="0" applyFont="1" applyFill="1" applyBorder="1" applyAlignment="1" applyProtection="1">
      <alignment horizontal="right"/>
      <protection hidden="1"/>
    </xf>
    <xf numFmtId="0" fontId="12" fillId="6" borderId="19" xfId="0" applyFont="1" applyFill="1" applyBorder="1" applyAlignment="1" applyProtection="1">
      <alignment horizontal="right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4" fillId="4" borderId="20" xfId="0" applyFont="1" applyFill="1" applyBorder="1" applyAlignment="1" applyProtection="1">
      <alignment/>
      <protection hidden="1"/>
    </xf>
    <xf numFmtId="0" fontId="0" fillId="4" borderId="20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3" borderId="20" xfId="0" applyFill="1" applyBorder="1" applyAlignment="1" applyProtection="1">
      <alignment horizontal="center"/>
      <protection hidden="1"/>
    </xf>
    <xf numFmtId="175" fontId="1" fillId="6" borderId="21" xfId="0" applyNumberFormat="1" applyFont="1" applyFill="1" applyBorder="1" applyAlignment="1" applyProtection="1">
      <alignment/>
      <protection hidden="1"/>
    </xf>
    <xf numFmtId="1" fontId="1" fillId="6" borderId="9" xfId="0" applyNumberFormat="1" applyFont="1" applyFill="1" applyBorder="1" applyAlignment="1" applyProtection="1">
      <alignment/>
      <protection hidden="1"/>
    </xf>
    <xf numFmtId="0" fontId="1" fillId="6" borderId="22" xfId="0" applyFont="1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75" fontId="4" fillId="4" borderId="0" xfId="0" applyNumberFormat="1" applyFont="1" applyFill="1" applyBorder="1" applyAlignment="1" applyProtection="1">
      <alignment/>
      <protection hidden="1"/>
    </xf>
    <xf numFmtId="175" fontId="4" fillId="4" borderId="0" xfId="0" applyNumberFormat="1" applyFont="1" applyFill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7" borderId="0" xfId="0" applyFill="1" applyAlignment="1" applyProtection="1">
      <alignment/>
      <protection locked="0"/>
    </xf>
    <xf numFmtId="0" fontId="12" fillId="6" borderId="9" xfId="0" applyFont="1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/>
      <protection/>
    </xf>
    <xf numFmtId="0" fontId="1" fillId="4" borderId="0" xfId="0" applyFont="1" applyFill="1" applyAlignment="1" applyProtection="1">
      <alignment horizontal="right"/>
      <protection locked="0"/>
    </xf>
    <xf numFmtId="0" fontId="26" fillId="4" borderId="0" xfId="0" applyFont="1" applyFill="1" applyAlignment="1" applyProtection="1">
      <alignment/>
      <protection locked="0"/>
    </xf>
    <xf numFmtId="0" fontId="0" fillId="6" borderId="9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9" fillId="3" borderId="0" xfId="0" applyFont="1" applyFill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/>
      <protection hidden="1"/>
    </xf>
    <xf numFmtId="0" fontId="1" fillId="2" borderId="23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10" fillId="3" borderId="0" xfId="0" applyFont="1" applyFill="1" applyAlignment="1" applyProtection="1">
      <alignment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 quotePrefix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 applyProtection="1">
      <alignment horizontal="center" vertical="center" wrapText="1"/>
      <protection locked="0"/>
    </xf>
    <xf numFmtId="0" fontId="0" fillId="2" borderId="33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horizontal="left"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4" fillId="2" borderId="1" xfId="0" applyFont="1" applyFill="1" applyBorder="1" applyAlignment="1" applyProtection="1" quotePrefix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0" fontId="0" fillId="7" borderId="1" xfId="0" applyFill="1" applyBorder="1" applyAlignment="1" applyProtection="1">
      <alignment/>
      <protection hidden="1"/>
    </xf>
    <xf numFmtId="0" fontId="1" fillId="2" borderId="26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12" fillId="3" borderId="35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0" fontId="27" fillId="7" borderId="0" xfId="0" applyFont="1" applyFill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chartsheet" Target="chartsheets/sheet6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5525"/>
          <c:w val="0.9525"/>
          <c:h val="0.88475"/>
        </c:manualLayout>
      </c:layout>
      <c:scatterChart>
        <c:scatterStyle val="smooth"/>
        <c:varyColors val="0"/>
        <c:ser>
          <c:idx val="0"/>
          <c:order val="0"/>
          <c:tx>
            <c:v>Actual N rate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NVTable_Blank!$B$36:$B$99</c:f>
              <c:numCache>
                <c:ptCount val="64"/>
                <c:pt idx="0">
                  <c:v>0.25</c:v>
                </c:pt>
                <c:pt idx="1">
                  <c:v>0.26</c:v>
                </c:pt>
                <c:pt idx="2">
                  <c:v>0.27</c:v>
                </c:pt>
                <c:pt idx="3">
                  <c:v>0.28</c:v>
                </c:pt>
                <c:pt idx="4">
                  <c:v>0.29</c:v>
                </c:pt>
                <c:pt idx="5">
                  <c:v>0.3</c:v>
                </c:pt>
                <c:pt idx="6">
                  <c:v>0.31</c:v>
                </c:pt>
                <c:pt idx="7">
                  <c:v>0.32</c:v>
                </c:pt>
                <c:pt idx="8">
                  <c:v>0.33</c:v>
                </c:pt>
                <c:pt idx="9">
                  <c:v>0.34</c:v>
                </c:pt>
                <c:pt idx="10">
                  <c:v>0.35</c:v>
                </c:pt>
                <c:pt idx="11">
                  <c:v>0.36</c:v>
                </c:pt>
                <c:pt idx="12">
                  <c:v>0.37</c:v>
                </c:pt>
                <c:pt idx="13">
                  <c:v>0.38</c:v>
                </c:pt>
                <c:pt idx="14">
                  <c:v>0.39</c:v>
                </c:pt>
                <c:pt idx="15">
                  <c:v>0.4</c:v>
                </c:pt>
                <c:pt idx="16">
                  <c:v>0.41</c:v>
                </c:pt>
                <c:pt idx="17">
                  <c:v>0.42</c:v>
                </c:pt>
                <c:pt idx="18">
                  <c:v>0.43</c:v>
                </c:pt>
                <c:pt idx="19">
                  <c:v>0.44</c:v>
                </c:pt>
                <c:pt idx="20">
                  <c:v>0.45</c:v>
                </c:pt>
                <c:pt idx="21">
                  <c:v>0.46</c:v>
                </c:pt>
                <c:pt idx="22">
                  <c:v>0.47</c:v>
                </c:pt>
                <c:pt idx="23">
                  <c:v>0.48</c:v>
                </c:pt>
                <c:pt idx="24">
                  <c:v>0.49</c:v>
                </c:pt>
                <c:pt idx="25">
                  <c:v>0.5</c:v>
                </c:pt>
                <c:pt idx="26">
                  <c:v>0.51</c:v>
                </c:pt>
                <c:pt idx="27">
                  <c:v>0.52</c:v>
                </c:pt>
                <c:pt idx="28">
                  <c:v>0.53</c:v>
                </c:pt>
                <c:pt idx="29">
                  <c:v>0.54</c:v>
                </c:pt>
                <c:pt idx="30">
                  <c:v>0.55</c:v>
                </c:pt>
                <c:pt idx="31">
                  <c:v>0.56</c:v>
                </c:pt>
                <c:pt idx="32">
                  <c:v>0.57</c:v>
                </c:pt>
                <c:pt idx="33">
                  <c:v>0.58</c:v>
                </c:pt>
                <c:pt idx="34">
                  <c:v>0.59</c:v>
                </c:pt>
                <c:pt idx="35">
                  <c:v>0.6</c:v>
                </c:pt>
                <c:pt idx="36">
                  <c:v>0.61</c:v>
                </c:pt>
                <c:pt idx="37">
                  <c:v>0.62</c:v>
                </c:pt>
                <c:pt idx="38">
                  <c:v>0.63</c:v>
                </c:pt>
                <c:pt idx="39">
                  <c:v>0.64</c:v>
                </c:pt>
                <c:pt idx="40">
                  <c:v>0.65</c:v>
                </c:pt>
                <c:pt idx="41">
                  <c:v>0.66</c:v>
                </c:pt>
                <c:pt idx="42">
                  <c:v>0.67</c:v>
                </c:pt>
                <c:pt idx="43">
                  <c:v>0.68</c:v>
                </c:pt>
                <c:pt idx="44">
                  <c:v>0.69</c:v>
                </c:pt>
                <c:pt idx="45">
                  <c:v>0.7</c:v>
                </c:pt>
                <c:pt idx="46">
                  <c:v>0.71</c:v>
                </c:pt>
                <c:pt idx="47">
                  <c:v>0.72</c:v>
                </c:pt>
                <c:pt idx="48">
                  <c:v>0.73</c:v>
                </c:pt>
                <c:pt idx="49">
                  <c:v>0.74</c:v>
                </c:pt>
                <c:pt idx="50">
                  <c:v>0.75</c:v>
                </c:pt>
                <c:pt idx="51">
                  <c:v>0.76</c:v>
                </c:pt>
                <c:pt idx="52">
                  <c:v>0.77</c:v>
                </c:pt>
                <c:pt idx="53">
                  <c:v>0.78</c:v>
                </c:pt>
                <c:pt idx="54">
                  <c:v>0.79</c:v>
                </c:pt>
                <c:pt idx="55">
                  <c:v>0.8</c:v>
                </c:pt>
                <c:pt idx="56">
                  <c:v>0.81</c:v>
                </c:pt>
                <c:pt idx="57">
                  <c:v>0.820000000000001</c:v>
                </c:pt>
                <c:pt idx="58">
                  <c:v>0.830000000000001</c:v>
                </c:pt>
                <c:pt idx="59">
                  <c:v>0.840000000000001</c:v>
                </c:pt>
                <c:pt idx="60">
                  <c:v>0.850000000000001</c:v>
                </c:pt>
                <c:pt idx="61">
                  <c:v>0.860000000000001</c:v>
                </c:pt>
                <c:pt idx="62">
                  <c:v>0.870000000000001</c:v>
                </c:pt>
                <c:pt idx="63">
                  <c:v>0.880000000000001</c:v>
                </c:pt>
              </c:numCache>
            </c:numRef>
          </c:xVal>
          <c:yVal>
            <c:numRef>
              <c:f>NVTable_Blank!$I$36:$I$99</c:f>
              <c:numCache>
                <c:ptCount val="64"/>
                <c:pt idx="0">
                  <c:v>0</c:v>
                </c:pt>
                <c:pt idx="1">
                  <c:v>14.575369347832464</c:v>
                </c:pt>
                <c:pt idx="2">
                  <c:v>14.575369347832464</c:v>
                </c:pt>
                <c:pt idx="3">
                  <c:v>14.575369347832464</c:v>
                </c:pt>
                <c:pt idx="4">
                  <c:v>14.575369347832464</c:v>
                </c:pt>
                <c:pt idx="5">
                  <c:v>14.575369347832464</c:v>
                </c:pt>
                <c:pt idx="6">
                  <c:v>28.763107784292856</c:v>
                </c:pt>
                <c:pt idx="7">
                  <c:v>28.763107784292856</c:v>
                </c:pt>
                <c:pt idx="8">
                  <c:v>28.763107784292856</c:v>
                </c:pt>
                <c:pt idx="9">
                  <c:v>28.763107784292856</c:v>
                </c:pt>
                <c:pt idx="10">
                  <c:v>28.763107784292856</c:v>
                </c:pt>
                <c:pt idx="11">
                  <c:v>28.763107784292856</c:v>
                </c:pt>
                <c:pt idx="12">
                  <c:v>28.763107784292856</c:v>
                </c:pt>
                <c:pt idx="13">
                  <c:v>28.763107784292856</c:v>
                </c:pt>
                <c:pt idx="14">
                  <c:v>28.763107784292856</c:v>
                </c:pt>
                <c:pt idx="15">
                  <c:v>28.763107784292856</c:v>
                </c:pt>
                <c:pt idx="16">
                  <c:v>43.3384771321253</c:v>
                </c:pt>
                <c:pt idx="17">
                  <c:v>43.3384771321253</c:v>
                </c:pt>
                <c:pt idx="18">
                  <c:v>43.3384771321253</c:v>
                </c:pt>
                <c:pt idx="19">
                  <c:v>43.3384771321253</c:v>
                </c:pt>
                <c:pt idx="20">
                  <c:v>43.3384771321253</c:v>
                </c:pt>
                <c:pt idx="21">
                  <c:v>43.3384771321253</c:v>
                </c:pt>
                <c:pt idx="22">
                  <c:v>43.3384771321253</c:v>
                </c:pt>
                <c:pt idx="23">
                  <c:v>43.3384771321253</c:v>
                </c:pt>
                <c:pt idx="24">
                  <c:v>43.3384771321253</c:v>
                </c:pt>
                <c:pt idx="25">
                  <c:v>43.3384771321253</c:v>
                </c:pt>
                <c:pt idx="26">
                  <c:v>57.34773521845503</c:v>
                </c:pt>
                <c:pt idx="27">
                  <c:v>57.34773521845503</c:v>
                </c:pt>
                <c:pt idx="28">
                  <c:v>57.34773521845503</c:v>
                </c:pt>
                <c:pt idx="29">
                  <c:v>57.34773521845503</c:v>
                </c:pt>
                <c:pt idx="30">
                  <c:v>57.34773521845503</c:v>
                </c:pt>
                <c:pt idx="31">
                  <c:v>57.34773521845503</c:v>
                </c:pt>
                <c:pt idx="32">
                  <c:v>57.34773521845503</c:v>
                </c:pt>
                <c:pt idx="33">
                  <c:v>57.34773521845503</c:v>
                </c:pt>
                <c:pt idx="34">
                  <c:v>57.34773521845503</c:v>
                </c:pt>
                <c:pt idx="35">
                  <c:v>57.34773521845503</c:v>
                </c:pt>
                <c:pt idx="36">
                  <c:v>71.9231045662875</c:v>
                </c:pt>
                <c:pt idx="37">
                  <c:v>71.9231045662875</c:v>
                </c:pt>
                <c:pt idx="38">
                  <c:v>71.9231045662875</c:v>
                </c:pt>
                <c:pt idx="39">
                  <c:v>71.9231045662875</c:v>
                </c:pt>
                <c:pt idx="40">
                  <c:v>71.9231045662875</c:v>
                </c:pt>
                <c:pt idx="41">
                  <c:v>71.9231045662875</c:v>
                </c:pt>
                <c:pt idx="42">
                  <c:v>71.9231045662875</c:v>
                </c:pt>
                <c:pt idx="43">
                  <c:v>71.9231045662875</c:v>
                </c:pt>
                <c:pt idx="44">
                  <c:v>71.9231045662875</c:v>
                </c:pt>
                <c:pt idx="45">
                  <c:v>71.9231045662875</c:v>
                </c:pt>
                <c:pt idx="46">
                  <c:v>57.34773521845503</c:v>
                </c:pt>
                <c:pt idx="47">
                  <c:v>57.34773521845503</c:v>
                </c:pt>
                <c:pt idx="48">
                  <c:v>57.34773521845503</c:v>
                </c:pt>
                <c:pt idx="49">
                  <c:v>57.34773521845503</c:v>
                </c:pt>
                <c:pt idx="50">
                  <c:v>57.34773521845503</c:v>
                </c:pt>
                <c:pt idx="51">
                  <c:v>57.34773521845503</c:v>
                </c:pt>
                <c:pt idx="52">
                  <c:v>57.34773521845503</c:v>
                </c:pt>
                <c:pt idx="53">
                  <c:v>57.34773521845503</c:v>
                </c:pt>
                <c:pt idx="54">
                  <c:v>57.34773521845503</c:v>
                </c:pt>
                <c:pt idx="55">
                  <c:v>57.34773521845503</c:v>
                </c:pt>
                <c:pt idx="56">
                  <c:v>43.3384771321253</c:v>
                </c:pt>
                <c:pt idx="57">
                  <c:v>43.3384771321253</c:v>
                </c:pt>
                <c:pt idx="58">
                  <c:v>43.3384771321253</c:v>
                </c:pt>
                <c:pt idx="59">
                  <c:v>43.3384771321253</c:v>
                </c:pt>
                <c:pt idx="60">
                  <c:v>43.3384771321253</c:v>
                </c:pt>
                <c:pt idx="61">
                  <c:v>43.3384771321253</c:v>
                </c:pt>
                <c:pt idx="62">
                  <c:v>43.3384771321253</c:v>
                </c:pt>
                <c:pt idx="63">
                  <c:v>0</c:v>
                </c:pt>
              </c:numCache>
            </c:numRef>
          </c:yVal>
          <c:smooth val="1"/>
        </c:ser>
        <c:axId val="38619441"/>
        <c:axId val="12030650"/>
      </c:scatterChart>
      <c:valAx>
        <c:axId val="38619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NDVI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30650"/>
        <c:crosses val="autoZero"/>
        <c:crossBetween val="midCat"/>
        <c:dispUnits/>
      </c:valAx>
      <c:valAx>
        <c:axId val="12030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N rate, lb N/ac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194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10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NVChart_MY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925"/>
          <c:y val="0.09675"/>
          <c:w val="0.751"/>
          <c:h val="0.68775"/>
        </c:manualLayout>
      </c:layout>
      <c:scatterChart>
        <c:scatterStyle val="smooth"/>
        <c:varyColors val="0"/>
        <c:ser>
          <c:idx val="1"/>
          <c:order val="0"/>
          <c:tx>
            <c:strRef>
              <c:f>NVTable_MY!$G$35</c:f>
              <c:strCache>
                <c:ptCount val="1"/>
                <c:pt idx="0">
                  <c:v>lbN/acre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NVTable_MY!$B$36:$B$99</c:f>
              <c:numCache>
                <c:ptCount val="64"/>
                <c:pt idx="0">
                  <c:v>0.25</c:v>
                </c:pt>
                <c:pt idx="1">
                  <c:v>0.26</c:v>
                </c:pt>
                <c:pt idx="2">
                  <c:v>0.27</c:v>
                </c:pt>
                <c:pt idx="3">
                  <c:v>0.28</c:v>
                </c:pt>
                <c:pt idx="4">
                  <c:v>0.29</c:v>
                </c:pt>
                <c:pt idx="5">
                  <c:v>0.3</c:v>
                </c:pt>
                <c:pt idx="6">
                  <c:v>0.31</c:v>
                </c:pt>
                <c:pt idx="7">
                  <c:v>0.32</c:v>
                </c:pt>
                <c:pt idx="8">
                  <c:v>0.33</c:v>
                </c:pt>
                <c:pt idx="9">
                  <c:v>0.34</c:v>
                </c:pt>
                <c:pt idx="10">
                  <c:v>0.35</c:v>
                </c:pt>
                <c:pt idx="11">
                  <c:v>0.36</c:v>
                </c:pt>
                <c:pt idx="12">
                  <c:v>0.37</c:v>
                </c:pt>
                <c:pt idx="13">
                  <c:v>0.38</c:v>
                </c:pt>
                <c:pt idx="14">
                  <c:v>0.39</c:v>
                </c:pt>
                <c:pt idx="15">
                  <c:v>0.4</c:v>
                </c:pt>
                <c:pt idx="16">
                  <c:v>0.41</c:v>
                </c:pt>
                <c:pt idx="17">
                  <c:v>0.42</c:v>
                </c:pt>
                <c:pt idx="18">
                  <c:v>0.43</c:v>
                </c:pt>
                <c:pt idx="19">
                  <c:v>0.44</c:v>
                </c:pt>
                <c:pt idx="20">
                  <c:v>0.45</c:v>
                </c:pt>
                <c:pt idx="21">
                  <c:v>0.46</c:v>
                </c:pt>
                <c:pt idx="22">
                  <c:v>0.47</c:v>
                </c:pt>
                <c:pt idx="23">
                  <c:v>0.48</c:v>
                </c:pt>
                <c:pt idx="24">
                  <c:v>0.49</c:v>
                </c:pt>
                <c:pt idx="25">
                  <c:v>0.5</c:v>
                </c:pt>
                <c:pt idx="26">
                  <c:v>0.51</c:v>
                </c:pt>
                <c:pt idx="27">
                  <c:v>0.52</c:v>
                </c:pt>
                <c:pt idx="28">
                  <c:v>0.53</c:v>
                </c:pt>
                <c:pt idx="29">
                  <c:v>0.54</c:v>
                </c:pt>
                <c:pt idx="30">
                  <c:v>0.55</c:v>
                </c:pt>
                <c:pt idx="31">
                  <c:v>0.56</c:v>
                </c:pt>
                <c:pt idx="32">
                  <c:v>0.57</c:v>
                </c:pt>
                <c:pt idx="33">
                  <c:v>0.58</c:v>
                </c:pt>
                <c:pt idx="34">
                  <c:v>0.59</c:v>
                </c:pt>
                <c:pt idx="35">
                  <c:v>0.6</c:v>
                </c:pt>
                <c:pt idx="36">
                  <c:v>0.61</c:v>
                </c:pt>
                <c:pt idx="37">
                  <c:v>0.62</c:v>
                </c:pt>
                <c:pt idx="38">
                  <c:v>0.63</c:v>
                </c:pt>
                <c:pt idx="39">
                  <c:v>0.64</c:v>
                </c:pt>
                <c:pt idx="40">
                  <c:v>0.65</c:v>
                </c:pt>
                <c:pt idx="41">
                  <c:v>0.66</c:v>
                </c:pt>
                <c:pt idx="42">
                  <c:v>0.67</c:v>
                </c:pt>
                <c:pt idx="43">
                  <c:v>0.68</c:v>
                </c:pt>
                <c:pt idx="44">
                  <c:v>0.69</c:v>
                </c:pt>
                <c:pt idx="45">
                  <c:v>0.7</c:v>
                </c:pt>
                <c:pt idx="46">
                  <c:v>0.71</c:v>
                </c:pt>
                <c:pt idx="47">
                  <c:v>0.72</c:v>
                </c:pt>
                <c:pt idx="48">
                  <c:v>0.73</c:v>
                </c:pt>
                <c:pt idx="49">
                  <c:v>0.74</c:v>
                </c:pt>
                <c:pt idx="50">
                  <c:v>0.75</c:v>
                </c:pt>
                <c:pt idx="51">
                  <c:v>0.76</c:v>
                </c:pt>
                <c:pt idx="52">
                  <c:v>0.77</c:v>
                </c:pt>
                <c:pt idx="53">
                  <c:v>0.78</c:v>
                </c:pt>
                <c:pt idx="54">
                  <c:v>0.79</c:v>
                </c:pt>
                <c:pt idx="55">
                  <c:v>0.8</c:v>
                </c:pt>
                <c:pt idx="56">
                  <c:v>0.81</c:v>
                </c:pt>
                <c:pt idx="57">
                  <c:v>0.820000000000001</c:v>
                </c:pt>
                <c:pt idx="58">
                  <c:v>0.830000000000001</c:v>
                </c:pt>
                <c:pt idx="59">
                  <c:v>0.840000000000001</c:v>
                </c:pt>
                <c:pt idx="60">
                  <c:v>0.850000000000001</c:v>
                </c:pt>
                <c:pt idx="61">
                  <c:v>0.860000000000001</c:v>
                </c:pt>
                <c:pt idx="62">
                  <c:v>0.870000000000001</c:v>
                </c:pt>
                <c:pt idx="63">
                  <c:v>0.880000000000001</c:v>
                </c:pt>
              </c:numCache>
            </c:numRef>
          </c:xVal>
          <c:yVal>
            <c:numRef>
              <c:f>NVTable_MY!$G$36:$G$99</c:f>
              <c:numCache>
                <c:ptCount val="64"/>
                <c:pt idx="0">
                  <c:v>114.56442912640745</c:v>
                </c:pt>
                <c:pt idx="1">
                  <c:v>113.3437628070368</c:v>
                </c:pt>
                <c:pt idx="2">
                  <c:v>112.08590768770662</c:v>
                </c:pt>
                <c:pt idx="3">
                  <c:v>110.78973077505053</c:v>
                </c:pt>
                <c:pt idx="4">
                  <c:v>109.45406455794486</c:v>
                </c:pt>
                <c:pt idx="5">
                  <c:v>108.0777059558914</c:v>
                </c:pt>
                <c:pt idx="6">
                  <c:v>106.65941523536125</c:v>
                </c:pt>
                <c:pt idx="7">
                  <c:v>105.1979148931243</c:v>
                </c:pt>
                <c:pt idx="8">
                  <c:v>103.69188850555804</c:v>
                </c:pt>
                <c:pt idx="9">
                  <c:v>102.13997954289964</c:v>
                </c:pt>
                <c:pt idx="10">
                  <c:v>100.54079014737282</c:v>
                </c:pt>
                <c:pt idx="11">
                  <c:v>98.8928798740894</c:v>
                </c:pt>
                <c:pt idx="12">
                  <c:v>97.19476439359097</c:v>
                </c:pt>
                <c:pt idx="13">
                  <c:v>95.4449141548623</c:v>
                </c:pt>
                <c:pt idx="14">
                  <c:v>93.64175300761215</c:v>
                </c:pt>
                <c:pt idx="15">
                  <c:v>91.78365678258048</c:v>
                </c:pt>
                <c:pt idx="16">
                  <c:v>89.86895182859341</c:v>
                </c:pt>
                <c:pt idx="17">
                  <c:v>87.89591350504789</c:v>
                </c:pt>
                <c:pt idx="18">
                  <c:v>85.86276462846881</c:v>
                </c:pt>
                <c:pt idx="19">
                  <c:v>83.76767387173852</c:v>
                </c:pt>
                <c:pt idx="20">
                  <c:v>81.60875411455767</c:v>
                </c:pt>
                <c:pt idx="21">
                  <c:v>79.38406074365093</c:v>
                </c:pt>
                <c:pt idx="22">
                  <c:v>77.091589901187</c:v>
                </c:pt>
                <c:pt idx="23">
                  <c:v>74.72927667983495</c:v>
                </c:pt>
                <c:pt idx="24">
                  <c:v>72.29499326283113</c:v>
                </c:pt>
                <c:pt idx="25">
                  <c:v>69.78654700738147</c:v>
                </c:pt>
                <c:pt idx="26">
                  <c:v>67.20167846967267</c:v>
                </c:pt>
                <c:pt idx="27">
                  <c:v>64.53805936971348</c:v>
                </c:pt>
                <c:pt idx="28">
                  <c:v>61.793290494172865</c:v>
                </c:pt>
                <c:pt idx="29">
                  <c:v>58.96489953532586</c:v>
                </c:pt>
                <c:pt idx="30">
                  <c:v>56.05033886416134</c:v>
                </c:pt>
                <c:pt idx="31">
                  <c:v>53.04698323564451</c:v>
                </c:pt>
                <c:pt idx="32">
                  <c:v>49.95212742406881</c:v>
                </c:pt>
                <c:pt idx="33">
                  <c:v>46.76298378636579</c:v>
                </c:pt>
                <c:pt idx="34">
                  <c:v>43.47667975117927</c:v>
                </c:pt>
                <c:pt idx="35">
                  <c:v>40.09025523144146</c:v>
                </c:pt>
                <c:pt idx="36">
                  <c:v>36.60065995812093</c:v>
                </c:pt>
                <c:pt idx="37">
                  <c:v>33.00475073274001</c:v>
                </c:pt>
                <c:pt idx="38">
                  <c:v>29.299288596188145</c:v>
                </c:pt>
                <c:pt idx="39">
                  <c:v>25.480935911280064</c:v>
                </c:pt>
                <c:pt idx="40">
                  <c:v>21.54625335643066</c:v>
                </c:pt>
                <c:pt idx="41">
                  <c:v>17.49169682774048</c:v>
                </c:pt>
                <c:pt idx="42">
                  <c:v>13.313614246699029</c:v>
                </c:pt>
                <c:pt idx="43">
                  <c:v>9.008242270631992</c:v>
                </c:pt>
                <c:pt idx="44">
                  <c:v>4.571702902929337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NVTable_MY!$I$35</c:f>
              <c:strCache>
                <c:ptCount val="1"/>
                <c:pt idx="0">
                  <c:v>Actual rate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NVTable_MY!$B$36:$B$99</c:f>
              <c:numCache>
                <c:ptCount val="64"/>
                <c:pt idx="0">
                  <c:v>0.25</c:v>
                </c:pt>
                <c:pt idx="1">
                  <c:v>0.26</c:v>
                </c:pt>
                <c:pt idx="2">
                  <c:v>0.27</c:v>
                </c:pt>
                <c:pt idx="3">
                  <c:v>0.28</c:v>
                </c:pt>
                <c:pt idx="4">
                  <c:v>0.29</c:v>
                </c:pt>
                <c:pt idx="5">
                  <c:v>0.3</c:v>
                </c:pt>
                <c:pt idx="6">
                  <c:v>0.31</c:v>
                </c:pt>
                <c:pt idx="7">
                  <c:v>0.32</c:v>
                </c:pt>
                <c:pt idx="8">
                  <c:v>0.33</c:v>
                </c:pt>
                <c:pt idx="9">
                  <c:v>0.34</c:v>
                </c:pt>
                <c:pt idx="10">
                  <c:v>0.35</c:v>
                </c:pt>
                <c:pt idx="11">
                  <c:v>0.36</c:v>
                </c:pt>
                <c:pt idx="12">
                  <c:v>0.37</c:v>
                </c:pt>
                <c:pt idx="13">
                  <c:v>0.38</c:v>
                </c:pt>
                <c:pt idx="14">
                  <c:v>0.39</c:v>
                </c:pt>
                <c:pt idx="15">
                  <c:v>0.4</c:v>
                </c:pt>
                <c:pt idx="16">
                  <c:v>0.41</c:v>
                </c:pt>
                <c:pt idx="17">
                  <c:v>0.42</c:v>
                </c:pt>
                <c:pt idx="18">
                  <c:v>0.43</c:v>
                </c:pt>
                <c:pt idx="19">
                  <c:v>0.44</c:v>
                </c:pt>
                <c:pt idx="20">
                  <c:v>0.45</c:v>
                </c:pt>
                <c:pt idx="21">
                  <c:v>0.46</c:v>
                </c:pt>
                <c:pt idx="22">
                  <c:v>0.47</c:v>
                </c:pt>
                <c:pt idx="23">
                  <c:v>0.48</c:v>
                </c:pt>
                <c:pt idx="24">
                  <c:v>0.49</c:v>
                </c:pt>
                <c:pt idx="25">
                  <c:v>0.5</c:v>
                </c:pt>
                <c:pt idx="26">
                  <c:v>0.51</c:v>
                </c:pt>
                <c:pt idx="27">
                  <c:v>0.52</c:v>
                </c:pt>
                <c:pt idx="28">
                  <c:v>0.53</c:v>
                </c:pt>
                <c:pt idx="29">
                  <c:v>0.54</c:v>
                </c:pt>
                <c:pt idx="30">
                  <c:v>0.55</c:v>
                </c:pt>
                <c:pt idx="31">
                  <c:v>0.56</c:v>
                </c:pt>
                <c:pt idx="32">
                  <c:v>0.57</c:v>
                </c:pt>
                <c:pt idx="33">
                  <c:v>0.58</c:v>
                </c:pt>
                <c:pt idx="34">
                  <c:v>0.59</c:v>
                </c:pt>
                <c:pt idx="35">
                  <c:v>0.6</c:v>
                </c:pt>
                <c:pt idx="36">
                  <c:v>0.61</c:v>
                </c:pt>
                <c:pt idx="37">
                  <c:v>0.62</c:v>
                </c:pt>
                <c:pt idx="38">
                  <c:v>0.63</c:v>
                </c:pt>
                <c:pt idx="39">
                  <c:v>0.64</c:v>
                </c:pt>
                <c:pt idx="40">
                  <c:v>0.65</c:v>
                </c:pt>
                <c:pt idx="41">
                  <c:v>0.66</c:v>
                </c:pt>
                <c:pt idx="42">
                  <c:v>0.67</c:v>
                </c:pt>
                <c:pt idx="43">
                  <c:v>0.68</c:v>
                </c:pt>
                <c:pt idx="44">
                  <c:v>0.69</c:v>
                </c:pt>
                <c:pt idx="45">
                  <c:v>0.7</c:v>
                </c:pt>
                <c:pt idx="46">
                  <c:v>0.71</c:v>
                </c:pt>
                <c:pt idx="47">
                  <c:v>0.72</c:v>
                </c:pt>
                <c:pt idx="48">
                  <c:v>0.73</c:v>
                </c:pt>
                <c:pt idx="49">
                  <c:v>0.74</c:v>
                </c:pt>
                <c:pt idx="50">
                  <c:v>0.75</c:v>
                </c:pt>
                <c:pt idx="51">
                  <c:v>0.76</c:v>
                </c:pt>
                <c:pt idx="52">
                  <c:v>0.77</c:v>
                </c:pt>
                <c:pt idx="53">
                  <c:v>0.78</c:v>
                </c:pt>
                <c:pt idx="54">
                  <c:v>0.79</c:v>
                </c:pt>
                <c:pt idx="55">
                  <c:v>0.8</c:v>
                </c:pt>
                <c:pt idx="56">
                  <c:v>0.81</c:v>
                </c:pt>
                <c:pt idx="57">
                  <c:v>0.820000000000001</c:v>
                </c:pt>
                <c:pt idx="58">
                  <c:v>0.830000000000001</c:v>
                </c:pt>
                <c:pt idx="59">
                  <c:v>0.840000000000001</c:v>
                </c:pt>
                <c:pt idx="60">
                  <c:v>0.850000000000001</c:v>
                </c:pt>
                <c:pt idx="61">
                  <c:v>0.860000000000001</c:v>
                </c:pt>
                <c:pt idx="62">
                  <c:v>0.870000000000001</c:v>
                </c:pt>
                <c:pt idx="63">
                  <c:v>0.880000000000001</c:v>
                </c:pt>
              </c:numCache>
            </c:numRef>
          </c:xVal>
          <c:yVal>
            <c:numRef>
              <c:f>NVTable_MY!$I$36:$I$99</c:f>
              <c:numCache>
                <c:ptCount val="64"/>
                <c:pt idx="0">
                  <c:v>0</c:v>
                </c:pt>
                <c:pt idx="1">
                  <c:v>100.68621235058032</c:v>
                </c:pt>
                <c:pt idx="2">
                  <c:v>100.68621235058032</c:v>
                </c:pt>
                <c:pt idx="3">
                  <c:v>100.68621235058032</c:v>
                </c:pt>
                <c:pt idx="4">
                  <c:v>100.68621235058032</c:v>
                </c:pt>
                <c:pt idx="5">
                  <c:v>100.68621235058032</c:v>
                </c:pt>
                <c:pt idx="6">
                  <c:v>100.68621235058032</c:v>
                </c:pt>
                <c:pt idx="7">
                  <c:v>100.68621235058032</c:v>
                </c:pt>
                <c:pt idx="8">
                  <c:v>100.68621235058032</c:v>
                </c:pt>
                <c:pt idx="9">
                  <c:v>100.68621235058032</c:v>
                </c:pt>
                <c:pt idx="10">
                  <c:v>100.68621235058032</c:v>
                </c:pt>
                <c:pt idx="11">
                  <c:v>100.68621235058032</c:v>
                </c:pt>
                <c:pt idx="12">
                  <c:v>100.68621235058032</c:v>
                </c:pt>
                <c:pt idx="13">
                  <c:v>100.68621235058032</c:v>
                </c:pt>
                <c:pt idx="14">
                  <c:v>100.68621235058032</c:v>
                </c:pt>
                <c:pt idx="15">
                  <c:v>86.11084300274787</c:v>
                </c:pt>
                <c:pt idx="16">
                  <c:v>86.11084300274787</c:v>
                </c:pt>
                <c:pt idx="17">
                  <c:v>86.11084300274787</c:v>
                </c:pt>
                <c:pt idx="18">
                  <c:v>86.11084300274787</c:v>
                </c:pt>
                <c:pt idx="19">
                  <c:v>86.11084300274787</c:v>
                </c:pt>
                <c:pt idx="20">
                  <c:v>86.11084300274787</c:v>
                </c:pt>
                <c:pt idx="21">
                  <c:v>86.11084300274787</c:v>
                </c:pt>
                <c:pt idx="22">
                  <c:v>71.9231045662875</c:v>
                </c:pt>
                <c:pt idx="23">
                  <c:v>71.9231045662875</c:v>
                </c:pt>
                <c:pt idx="24">
                  <c:v>71.9231045662875</c:v>
                </c:pt>
                <c:pt idx="25">
                  <c:v>71.9231045662875</c:v>
                </c:pt>
                <c:pt idx="26">
                  <c:v>71.9231045662875</c:v>
                </c:pt>
                <c:pt idx="27">
                  <c:v>57.34773521845503</c:v>
                </c:pt>
                <c:pt idx="28">
                  <c:v>57.34773521845503</c:v>
                </c:pt>
                <c:pt idx="29">
                  <c:v>57.34773521845503</c:v>
                </c:pt>
                <c:pt idx="30">
                  <c:v>57.34773521845503</c:v>
                </c:pt>
                <c:pt idx="31">
                  <c:v>57.34773521845503</c:v>
                </c:pt>
                <c:pt idx="32">
                  <c:v>43.3384771321253</c:v>
                </c:pt>
                <c:pt idx="33">
                  <c:v>43.3384771321253</c:v>
                </c:pt>
                <c:pt idx="34">
                  <c:v>43.3384771321253</c:v>
                </c:pt>
                <c:pt idx="35">
                  <c:v>43.3384771321253</c:v>
                </c:pt>
                <c:pt idx="36">
                  <c:v>43.3384771321253</c:v>
                </c:pt>
                <c:pt idx="37">
                  <c:v>28.763107784292856</c:v>
                </c:pt>
                <c:pt idx="38">
                  <c:v>28.763107784292856</c:v>
                </c:pt>
                <c:pt idx="39">
                  <c:v>28.763107784292856</c:v>
                </c:pt>
                <c:pt idx="40">
                  <c:v>28.763107784292856</c:v>
                </c:pt>
                <c:pt idx="41">
                  <c:v>14.575369347832464</c:v>
                </c:pt>
                <c:pt idx="42">
                  <c:v>14.575369347832464</c:v>
                </c:pt>
                <c:pt idx="43">
                  <c:v>14.575369347832464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1"/>
        </c:ser>
        <c:axId val="41166987"/>
        <c:axId val="34958564"/>
      </c:scatterChart>
      <c:valAx>
        <c:axId val="41166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NDVI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58564"/>
        <c:crosses val="autoZero"/>
        <c:crossBetween val="midCat"/>
        <c:dispUnits/>
      </c:valAx>
      <c:valAx>
        <c:axId val="349585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App. Rate (lb/acre)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669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75"/>
          <c:y val="0.12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NVChart_RI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25"/>
          <c:y val="0.09675"/>
          <c:w val="0.772"/>
          <c:h val="0.73225"/>
        </c:manualLayout>
      </c:layout>
      <c:scatterChart>
        <c:scatterStyle val="smooth"/>
        <c:varyColors val="0"/>
        <c:ser>
          <c:idx val="1"/>
          <c:order val="0"/>
          <c:tx>
            <c:strRef>
              <c:f>NVTable_RI!$G$35</c:f>
              <c:strCache>
                <c:ptCount val="1"/>
                <c:pt idx="0">
                  <c:v>lbN/acre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NVTable_RI!$B$36:$B$99</c:f>
              <c:numCache>
                <c:ptCount val="64"/>
                <c:pt idx="0">
                  <c:v>0.25</c:v>
                </c:pt>
                <c:pt idx="1">
                  <c:v>0.26</c:v>
                </c:pt>
                <c:pt idx="2">
                  <c:v>0.27</c:v>
                </c:pt>
                <c:pt idx="3">
                  <c:v>0.28</c:v>
                </c:pt>
                <c:pt idx="4">
                  <c:v>0.29</c:v>
                </c:pt>
                <c:pt idx="5">
                  <c:v>0.3</c:v>
                </c:pt>
                <c:pt idx="6">
                  <c:v>0.31</c:v>
                </c:pt>
                <c:pt idx="7">
                  <c:v>0.32</c:v>
                </c:pt>
                <c:pt idx="8">
                  <c:v>0.33</c:v>
                </c:pt>
                <c:pt idx="9">
                  <c:v>0.34</c:v>
                </c:pt>
                <c:pt idx="10">
                  <c:v>0.35</c:v>
                </c:pt>
                <c:pt idx="11">
                  <c:v>0.36</c:v>
                </c:pt>
                <c:pt idx="12">
                  <c:v>0.37</c:v>
                </c:pt>
                <c:pt idx="13">
                  <c:v>0.38</c:v>
                </c:pt>
                <c:pt idx="14">
                  <c:v>0.39</c:v>
                </c:pt>
                <c:pt idx="15">
                  <c:v>0.4</c:v>
                </c:pt>
                <c:pt idx="16">
                  <c:v>0.41</c:v>
                </c:pt>
                <c:pt idx="17">
                  <c:v>0.42</c:v>
                </c:pt>
                <c:pt idx="18">
                  <c:v>0.43</c:v>
                </c:pt>
                <c:pt idx="19">
                  <c:v>0.44</c:v>
                </c:pt>
                <c:pt idx="20">
                  <c:v>0.45</c:v>
                </c:pt>
                <c:pt idx="21">
                  <c:v>0.46</c:v>
                </c:pt>
                <c:pt idx="22">
                  <c:v>0.47</c:v>
                </c:pt>
                <c:pt idx="23">
                  <c:v>0.48</c:v>
                </c:pt>
                <c:pt idx="24">
                  <c:v>0.49</c:v>
                </c:pt>
                <c:pt idx="25">
                  <c:v>0.5</c:v>
                </c:pt>
                <c:pt idx="26">
                  <c:v>0.51</c:v>
                </c:pt>
                <c:pt idx="27">
                  <c:v>0.52</c:v>
                </c:pt>
                <c:pt idx="28">
                  <c:v>0.53</c:v>
                </c:pt>
                <c:pt idx="29">
                  <c:v>0.54</c:v>
                </c:pt>
                <c:pt idx="30">
                  <c:v>0.55</c:v>
                </c:pt>
                <c:pt idx="31">
                  <c:v>0.56</c:v>
                </c:pt>
                <c:pt idx="32">
                  <c:v>0.57</c:v>
                </c:pt>
                <c:pt idx="33">
                  <c:v>0.58</c:v>
                </c:pt>
                <c:pt idx="34">
                  <c:v>0.59</c:v>
                </c:pt>
                <c:pt idx="35">
                  <c:v>0.6</c:v>
                </c:pt>
                <c:pt idx="36">
                  <c:v>0.61</c:v>
                </c:pt>
                <c:pt idx="37">
                  <c:v>0.62</c:v>
                </c:pt>
                <c:pt idx="38">
                  <c:v>0.63</c:v>
                </c:pt>
                <c:pt idx="39">
                  <c:v>0.64</c:v>
                </c:pt>
                <c:pt idx="40">
                  <c:v>0.65</c:v>
                </c:pt>
                <c:pt idx="41">
                  <c:v>0.66</c:v>
                </c:pt>
                <c:pt idx="42">
                  <c:v>0.67</c:v>
                </c:pt>
                <c:pt idx="43">
                  <c:v>0.68</c:v>
                </c:pt>
                <c:pt idx="44">
                  <c:v>0.69</c:v>
                </c:pt>
                <c:pt idx="45">
                  <c:v>0.7</c:v>
                </c:pt>
                <c:pt idx="46">
                  <c:v>0.71</c:v>
                </c:pt>
                <c:pt idx="47">
                  <c:v>0.72</c:v>
                </c:pt>
                <c:pt idx="48">
                  <c:v>0.73</c:v>
                </c:pt>
                <c:pt idx="49">
                  <c:v>0.74</c:v>
                </c:pt>
                <c:pt idx="50">
                  <c:v>0.75</c:v>
                </c:pt>
                <c:pt idx="51">
                  <c:v>0.76</c:v>
                </c:pt>
                <c:pt idx="52">
                  <c:v>0.77</c:v>
                </c:pt>
                <c:pt idx="53">
                  <c:v>0.78</c:v>
                </c:pt>
                <c:pt idx="54">
                  <c:v>0.79</c:v>
                </c:pt>
                <c:pt idx="55">
                  <c:v>0.8</c:v>
                </c:pt>
                <c:pt idx="56">
                  <c:v>0.81</c:v>
                </c:pt>
                <c:pt idx="57">
                  <c:v>0.820000000000001</c:v>
                </c:pt>
                <c:pt idx="58">
                  <c:v>0.830000000000001</c:v>
                </c:pt>
                <c:pt idx="59">
                  <c:v>0.840000000000001</c:v>
                </c:pt>
                <c:pt idx="60">
                  <c:v>0.850000000000001</c:v>
                </c:pt>
                <c:pt idx="61">
                  <c:v>0.860000000000001</c:v>
                </c:pt>
                <c:pt idx="62">
                  <c:v>0.870000000000001</c:v>
                </c:pt>
                <c:pt idx="63">
                  <c:v>0.880000000000001</c:v>
                </c:pt>
              </c:numCache>
            </c:numRef>
          </c:xVal>
          <c:yVal>
            <c:numRef>
              <c:f>NVTable_RI!$G$36:$G$99</c:f>
              <c:numCache>
                <c:ptCount val="64"/>
                <c:pt idx="0">
                  <c:v>47.579007376676444</c:v>
                </c:pt>
                <c:pt idx="1">
                  <c:v>49.02854863092908</c:v>
                </c:pt>
                <c:pt idx="2">
                  <c:v>50.52225158513365</c:v>
                </c:pt>
                <c:pt idx="3">
                  <c:v>52.061461668912784</c:v>
                </c:pt>
                <c:pt idx="4">
                  <c:v>53.647565301725756</c:v>
                </c:pt>
                <c:pt idx="5">
                  <c:v>55.28199114166424</c:v>
                </c:pt>
                <c:pt idx="6">
                  <c:v>56.966211372293785</c:v>
                </c:pt>
                <c:pt idx="7">
                  <c:v>58.70174302870015</c:v>
                </c:pt>
                <c:pt idx="8">
                  <c:v>60.490149363935096</c:v>
                </c:pt>
                <c:pt idx="9">
                  <c:v>62.33304125709196</c:v>
                </c:pt>
                <c:pt idx="10">
                  <c:v>64.23207866428008</c:v>
                </c:pt>
                <c:pt idx="11">
                  <c:v>66.18897211380411</c:v>
                </c:pt>
                <c:pt idx="12">
                  <c:v>68.20548424689599</c:v>
                </c:pt>
                <c:pt idx="13">
                  <c:v>70.28343140538631</c:v>
                </c:pt>
                <c:pt idx="14">
                  <c:v>72.42468526774586</c:v>
                </c:pt>
                <c:pt idx="15">
                  <c:v>74.63117453497095</c:v>
                </c:pt>
                <c:pt idx="16">
                  <c:v>76.90488666783064</c:v>
                </c:pt>
                <c:pt idx="17">
                  <c:v>79.24786967704092</c:v>
                </c:pt>
                <c:pt idx="18">
                  <c:v>81.66223396797857</c:v>
                </c:pt>
                <c:pt idx="19">
                  <c:v>84.15015424159576</c:v>
                </c:pt>
                <c:pt idx="20">
                  <c:v>86.71387145324805</c:v>
                </c:pt>
                <c:pt idx="21">
                  <c:v>89.35569483119977</c:v>
                </c:pt>
                <c:pt idx="22">
                  <c:v>92.07800395662571</c:v>
                </c:pt>
                <c:pt idx="23">
                  <c:v>94.88325090698132</c:v>
                </c:pt>
                <c:pt idx="24">
                  <c:v>97.7739624646733</c:v>
                </c:pt>
                <c:pt idx="25">
                  <c:v>100.75274239301982</c:v>
                </c:pt>
                <c:pt idx="26">
                  <c:v>103.82227378154897</c:v>
                </c:pt>
                <c:pt idx="27">
                  <c:v>106.98532146275052</c:v>
                </c:pt>
                <c:pt idx="28">
                  <c:v>110.244734502455</c:v>
                </c:pt>
                <c:pt idx="29">
                  <c:v>113.60344876608579</c:v>
                </c:pt>
                <c:pt idx="30">
                  <c:v>116.51937721002639</c:v>
                </c:pt>
                <c:pt idx="31">
                  <c:v>113.51602158150953</c:v>
                </c:pt>
                <c:pt idx="32">
                  <c:v>110.42116576993385</c:v>
                </c:pt>
                <c:pt idx="33">
                  <c:v>107.23202213223082</c:v>
                </c:pt>
                <c:pt idx="34">
                  <c:v>103.9457180970443</c:v>
                </c:pt>
                <c:pt idx="35">
                  <c:v>100.5592935773065</c:v>
                </c:pt>
                <c:pt idx="36">
                  <c:v>97.06969830398597</c:v>
                </c:pt>
                <c:pt idx="37">
                  <c:v>93.47378907860505</c:v>
                </c:pt>
                <c:pt idx="38">
                  <c:v>89.76832694205319</c:v>
                </c:pt>
                <c:pt idx="39">
                  <c:v>85.9499742571451</c:v>
                </c:pt>
                <c:pt idx="40">
                  <c:v>82.0152917022957</c:v>
                </c:pt>
                <c:pt idx="41">
                  <c:v>77.96073517360553</c:v>
                </c:pt>
                <c:pt idx="42">
                  <c:v>73.78265259256408</c:v>
                </c:pt>
                <c:pt idx="43">
                  <c:v>69.47728061649704</c:v>
                </c:pt>
                <c:pt idx="44">
                  <c:v>65.04074124879438</c:v>
                </c:pt>
                <c:pt idx="45">
                  <c:v>60.469038345865044</c:v>
                </c:pt>
                <c:pt idx="46">
                  <c:v>55.75805401767381</c:v>
                </c:pt>
                <c:pt idx="47">
                  <c:v>50.90354491861459</c:v>
                </c:pt>
                <c:pt idx="48">
                  <c:v>45.90113842538493</c:v>
                </c:pt>
                <c:pt idx="49">
                  <c:v>40.74632869841248</c:v>
                </c:pt>
                <c:pt idx="50">
                  <c:v>35.434472623290844</c:v>
                </c:pt>
                <c:pt idx="51">
                  <c:v>29.96078562856674</c:v>
                </c:pt>
                <c:pt idx="52">
                  <c:v>24.320337376111805</c:v>
                </c:pt>
                <c:pt idx="53">
                  <c:v>18.50804732019763</c:v>
                </c:pt>
                <c:pt idx="54">
                  <c:v>12.518680131273214</c:v>
                </c:pt>
                <c:pt idx="55">
                  <c:v>6.346840980324137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NVTable_RI!$I$35</c:f>
              <c:strCache>
                <c:ptCount val="1"/>
                <c:pt idx="0">
                  <c:v>Actual rate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NVTable_RI!$B$36:$B$99</c:f>
              <c:numCache>
                <c:ptCount val="64"/>
                <c:pt idx="0">
                  <c:v>0.25</c:v>
                </c:pt>
                <c:pt idx="1">
                  <c:v>0.26</c:v>
                </c:pt>
                <c:pt idx="2">
                  <c:v>0.27</c:v>
                </c:pt>
                <c:pt idx="3">
                  <c:v>0.28</c:v>
                </c:pt>
                <c:pt idx="4">
                  <c:v>0.29</c:v>
                </c:pt>
                <c:pt idx="5">
                  <c:v>0.3</c:v>
                </c:pt>
                <c:pt idx="6">
                  <c:v>0.31</c:v>
                </c:pt>
                <c:pt idx="7">
                  <c:v>0.32</c:v>
                </c:pt>
                <c:pt idx="8">
                  <c:v>0.33</c:v>
                </c:pt>
                <c:pt idx="9">
                  <c:v>0.34</c:v>
                </c:pt>
                <c:pt idx="10">
                  <c:v>0.35</c:v>
                </c:pt>
                <c:pt idx="11">
                  <c:v>0.36</c:v>
                </c:pt>
                <c:pt idx="12">
                  <c:v>0.37</c:v>
                </c:pt>
                <c:pt idx="13">
                  <c:v>0.38</c:v>
                </c:pt>
                <c:pt idx="14">
                  <c:v>0.39</c:v>
                </c:pt>
                <c:pt idx="15">
                  <c:v>0.4</c:v>
                </c:pt>
                <c:pt idx="16">
                  <c:v>0.41</c:v>
                </c:pt>
                <c:pt idx="17">
                  <c:v>0.42</c:v>
                </c:pt>
                <c:pt idx="18">
                  <c:v>0.43</c:v>
                </c:pt>
                <c:pt idx="19">
                  <c:v>0.44</c:v>
                </c:pt>
                <c:pt idx="20">
                  <c:v>0.45</c:v>
                </c:pt>
                <c:pt idx="21">
                  <c:v>0.46</c:v>
                </c:pt>
                <c:pt idx="22">
                  <c:v>0.47</c:v>
                </c:pt>
                <c:pt idx="23">
                  <c:v>0.48</c:v>
                </c:pt>
                <c:pt idx="24">
                  <c:v>0.49</c:v>
                </c:pt>
                <c:pt idx="25">
                  <c:v>0.5</c:v>
                </c:pt>
                <c:pt idx="26">
                  <c:v>0.51</c:v>
                </c:pt>
                <c:pt idx="27">
                  <c:v>0.52</c:v>
                </c:pt>
                <c:pt idx="28">
                  <c:v>0.53</c:v>
                </c:pt>
                <c:pt idx="29">
                  <c:v>0.54</c:v>
                </c:pt>
                <c:pt idx="30">
                  <c:v>0.55</c:v>
                </c:pt>
                <c:pt idx="31">
                  <c:v>0.56</c:v>
                </c:pt>
                <c:pt idx="32">
                  <c:v>0.57</c:v>
                </c:pt>
                <c:pt idx="33">
                  <c:v>0.58</c:v>
                </c:pt>
                <c:pt idx="34">
                  <c:v>0.59</c:v>
                </c:pt>
                <c:pt idx="35">
                  <c:v>0.6</c:v>
                </c:pt>
                <c:pt idx="36">
                  <c:v>0.61</c:v>
                </c:pt>
                <c:pt idx="37">
                  <c:v>0.62</c:v>
                </c:pt>
                <c:pt idx="38">
                  <c:v>0.63</c:v>
                </c:pt>
                <c:pt idx="39">
                  <c:v>0.64</c:v>
                </c:pt>
                <c:pt idx="40">
                  <c:v>0.65</c:v>
                </c:pt>
                <c:pt idx="41">
                  <c:v>0.66</c:v>
                </c:pt>
                <c:pt idx="42">
                  <c:v>0.67</c:v>
                </c:pt>
                <c:pt idx="43">
                  <c:v>0.68</c:v>
                </c:pt>
                <c:pt idx="44">
                  <c:v>0.69</c:v>
                </c:pt>
                <c:pt idx="45">
                  <c:v>0.7</c:v>
                </c:pt>
                <c:pt idx="46">
                  <c:v>0.71</c:v>
                </c:pt>
                <c:pt idx="47">
                  <c:v>0.72</c:v>
                </c:pt>
                <c:pt idx="48">
                  <c:v>0.73</c:v>
                </c:pt>
                <c:pt idx="49">
                  <c:v>0.74</c:v>
                </c:pt>
                <c:pt idx="50">
                  <c:v>0.75</c:v>
                </c:pt>
                <c:pt idx="51">
                  <c:v>0.76</c:v>
                </c:pt>
                <c:pt idx="52">
                  <c:v>0.77</c:v>
                </c:pt>
                <c:pt idx="53">
                  <c:v>0.78</c:v>
                </c:pt>
                <c:pt idx="54">
                  <c:v>0.79</c:v>
                </c:pt>
                <c:pt idx="55">
                  <c:v>0.8</c:v>
                </c:pt>
                <c:pt idx="56">
                  <c:v>0.81</c:v>
                </c:pt>
                <c:pt idx="57">
                  <c:v>0.820000000000001</c:v>
                </c:pt>
                <c:pt idx="58">
                  <c:v>0.830000000000001</c:v>
                </c:pt>
                <c:pt idx="59">
                  <c:v>0.840000000000001</c:v>
                </c:pt>
                <c:pt idx="60">
                  <c:v>0.850000000000001</c:v>
                </c:pt>
                <c:pt idx="61">
                  <c:v>0.860000000000001</c:v>
                </c:pt>
                <c:pt idx="62">
                  <c:v>0.870000000000001</c:v>
                </c:pt>
                <c:pt idx="63">
                  <c:v>0.880000000000001</c:v>
                </c:pt>
              </c:numCache>
            </c:numRef>
          </c:xVal>
          <c:yVal>
            <c:numRef>
              <c:f>NVTable_RI!$I$36:$I$99</c:f>
              <c:numCache>
                <c:ptCount val="64"/>
                <c:pt idx="0">
                  <c:v>0</c:v>
                </c:pt>
                <c:pt idx="1">
                  <c:v>43.3384771321253</c:v>
                </c:pt>
                <c:pt idx="2">
                  <c:v>57.34773521845503</c:v>
                </c:pt>
                <c:pt idx="3">
                  <c:v>57.34773521845503</c:v>
                </c:pt>
                <c:pt idx="4">
                  <c:v>57.34773521845503</c:v>
                </c:pt>
                <c:pt idx="5">
                  <c:v>57.34773521845503</c:v>
                </c:pt>
                <c:pt idx="6">
                  <c:v>57.34773521845503</c:v>
                </c:pt>
                <c:pt idx="7">
                  <c:v>57.34773521845503</c:v>
                </c:pt>
                <c:pt idx="8">
                  <c:v>57.34773521845503</c:v>
                </c:pt>
                <c:pt idx="9">
                  <c:v>57.34773521845503</c:v>
                </c:pt>
                <c:pt idx="10">
                  <c:v>57.34773521845503</c:v>
                </c:pt>
                <c:pt idx="11">
                  <c:v>71.9231045662875</c:v>
                </c:pt>
                <c:pt idx="12">
                  <c:v>71.9231045662875</c:v>
                </c:pt>
                <c:pt idx="13">
                  <c:v>71.9231045662875</c:v>
                </c:pt>
                <c:pt idx="14">
                  <c:v>71.9231045662875</c:v>
                </c:pt>
                <c:pt idx="15">
                  <c:v>71.9231045662875</c:v>
                </c:pt>
                <c:pt idx="16">
                  <c:v>71.9231045662875</c:v>
                </c:pt>
                <c:pt idx="17">
                  <c:v>86.11084300274787</c:v>
                </c:pt>
                <c:pt idx="18">
                  <c:v>86.11084300274787</c:v>
                </c:pt>
                <c:pt idx="19">
                  <c:v>86.11084300274787</c:v>
                </c:pt>
                <c:pt idx="20">
                  <c:v>86.11084300274787</c:v>
                </c:pt>
                <c:pt idx="21">
                  <c:v>86.11084300274787</c:v>
                </c:pt>
                <c:pt idx="22">
                  <c:v>86.11084300274787</c:v>
                </c:pt>
                <c:pt idx="23">
                  <c:v>100.68621235058032</c:v>
                </c:pt>
                <c:pt idx="24">
                  <c:v>100.68621235058032</c:v>
                </c:pt>
                <c:pt idx="25">
                  <c:v>100.68621235058032</c:v>
                </c:pt>
                <c:pt idx="26">
                  <c:v>100.68621235058032</c:v>
                </c:pt>
                <c:pt idx="27">
                  <c:v>100.68621235058032</c:v>
                </c:pt>
                <c:pt idx="28">
                  <c:v>100.68621235058032</c:v>
                </c:pt>
                <c:pt idx="29">
                  <c:v>100.68621235058032</c:v>
                </c:pt>
                <c:pt idx="30">
                  <c:v>100.68621235058032</c:v>
                </c:pt>
                <c:pt idx="31">
                  <c:v>100.68621235058032</c:v>
                </c:pt>
                <c:pt idx="32">
                  <c:v>100.68621235058032</c:v>
                </c:pt>
                <c:pt idx="33">
                  <c:v>100.68621235058032</c:v>
                </c:pt>
                <c:pt idx="34">
                  <c:v>100.68621235058032</c:v>
                </c:pt>
                <c:pt idx="35">
                  <c:v>100.68621235058032</c:v>
                </c:pt>
                <c:pt idx="36">
                  <c:v>100.68621235058032</c:v>
                </c:pt>
                <c:pt idx="37">
                  <c:v>100.68621235058032</c:v>
                </c:pt>
                <c:pt idx="38">
                  <c:v>86.11084300274787</c:v>
                </c:pt>
                <c:pt idx="39">
                  <c:v>86.11084300274787</c:v>
                </c:pt>
                <c:pt idx="40">
                  <c:v>86.11084300274787</c:v>
                </c:pt>
                <c:pt idx="41">
                  <c:v>71.9231045662875</c:v>
                </c:pt>
                <c:pt idx="42">
                  <c:v>71.9231045662875</c:v>
                </c:pt>
                <c:pt idx="43">
                  <c:v>71.9231045662875</c:v>
                </c:pt>
                <c:pt idx="44">
                  <c:v>71.9231045662875</c:v>
                </c:pt>
                <c:pt idx="45">
                  <c:v>57.34773521845503</c:v>
                </c:pt>
                <c:pt idx="46">
                  <c:v>57.34773521845503</c:v>
                </c:pt>
                <c:pt idx="47">
                  <c:v>57.34773521845503</c:v>
                </c:pt>
                <c:pt idx="48">
                  <c:v>43.3384771321253</c:v>
                </c:pt>
                <c:pt idx="49">
                  <c:v>43.3384771321253</c:v>
                </c:pt>
                <c:pt idx="50">
                  <c:v>28.763107784292856</c:v>
                </c:pt>
                <c:pt idx="51">
                  <c:v>28.763107784292856</c:v>
                </c:pt>
                <c:pt idx="52">
                  <c:v>28.763107784292856</c:v>
                </c:pt>
                <c:pt idx="53">
                  <c:v>14.575369347832464</c:v>
                </c:pt>
                <c:pt idx="54">
                  <c:v>14.575369347832464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1"/>
        </c:ser>
        <c:axId val="46191621"/>
        <c:axId val="13071406"/>
      </c:scatterChart>
      <c:valAx>
        <c:axId val="46191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NDVI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71406"/>
        <c:crosses val="autoZero"/>
        <c:crossBetween val="midCat"/>
        <c:dispUnits/>
      </c:valAx>
      <c:valAx>
        <c:axId val="130714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App. Rate (lb/acre)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916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25"/>
          <c:y val="0.12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NVChart_RI_EY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95"/>
          <c:y val="0.11325"/>
          <c:w val="0.70125"/>
          <c:h val="0.597"/>
        </c:manualLayout>
      </c:layout>
      <c:scatterChart>
        <c:scatterStyle val="smooth"/>
        <c:varyColors val="0"/>
        <c:ser>
          <c:idx val="1"/>
          <c:order val="0"/>
          <c:tx>
            <c:strRef>
              <c:f>NVTable_RI!$G$35</c:f>
              <c:strCache>
                <c:ptCount val="1"/>
                <c:pt idx="0">
                  <c:v>lbN/acre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NVTable_RI_EY!$B$36:$B$99</c:f>
              <c:numCache>
                <c:ptCount val="64"/>
                <c:pt idx="0">
                  <c:v>0.25</c:v>
                </c:pt>
                <c:pt idx="1">
                  <c:v>0.26</c:v>
                </c:pt>
                <c:pt idx="2">
                  <c:v>0.27</c:v>
                </c:pt>
                <c:pt idx="3">
                  <c:v>0.28</c:v>
                </c:pt>
                <c:pt idx="4">
                  <c:v>0.29</c:v>
                </c:pt>
                <c:pt idx="5">
                  <c:v>0.3</c:v>
                </c:pt>
                <c:pt idx="6">
                  <c:v>0.31</c:v>
                </c:pt>
                <c:pt idx="7">
                  <c:v>0.32</c:v>
                </c:pt>
                <c:pt idx="8">
                  <c:v>0.33</c:v>
                </c:pt>
                <c:pt idx="9">
                  <c:v>0.34</c:v>
                </c:pt>
                <c:pt idx="10">
                  <c:v>0.35</c:v>
                </c:pt>
                <c:pt idx="11">
                  <c:v>0.36</c:v>
                </c:pt>
                <c:pt idx="12">
                  <c:v>0.37</c:v>
                </c:pt>
                <c:pt idx="13">
                  <c:v>0.38</c:v>
                </c:pt>
                <c:pt idx="14">
                  <c:v>0.39</c:v>
                </c:pt>
                <c:pt idx="15">
                  <c:v>0.4</c:v>
                </c:pt>
                <c:pt idx="16">
                  <c:v>0.41</c:v>
                </c:pt>
                <c:pt idx="17">
                  <c:v>0.42</c:v>
                </c:pt>
                <c:pt idx="18">
                  <c:v>0.43</c:v>
                </c:pt>
                <c:pt idx="19">
                  <c:v>0.44</c:v>
                </c:pt>
                <c:pt idx="20">
                  <c:v>0.45</c:v>
                </c:pt>
                <c:pt idx="21">
                  <c:v>0.46</c:v>
                </c:pt>
                <c:pt idx="22">
                  <c:v>0.47</c:v>
                </c:pt>
                <c:pt idx="23">
                  <c:v>0.48</c:v>
                </c:pt>
                <c:pt idx="24">
                  <c:v>0.49</c:v>
                </c:pt>
                <c:pt idx="25">
                  <c:v>0.5</c:v>
                </c:pt>
                <c:pt idx="26">
                  <c:v>0.51</c:v>
                </c:pt>
                <c:pt idx="27">
                  <c:v>0.52</c:v>
                </c:pt>
                <c:pt idx="28">
                  <c:v>0.53</c:v>
                </c:pt>
                <c:pt idx="29">
                  <c:v>0.54</c:v>
                </c:pt>
                <c:pt idx="30">
                  <c:v>0.55</c:v>
                </c:pt>
                <c:pt idx="31">
                  <c:v>0.56</c:v>
                </c:pt>
                <c:pt idx="32">
                  <c:v>0.57</c:v>
                </c:pt>
                <c:pt idx="33">
                  <c:v>0.58</c:v>
                </c:pt>
                <c:pt idx="34">
                  <c:v>0.59</c:v>
                </c:pt>
                <c:pt idx="35">
                  <c:v>0.6</c:v>
                </c:pt>
                <c:pt idx="36">
                  <c:v>0.61</c:v>
                </c:pt>
                <c:pt idx="37">
                  <c:v>0.62</c:v>
                </c:pt>
                <c:pt idx="38">
                  <c:v>0.63</c:v>
                </c:pt>
                <c:pt idx="39">
                  <c:v>0.64</c:v>
                </c:pt>
                <c:pt idx="40">
                  <c:v>0.65</c:v>
                </c:pt>
                <c:pt idx="41">
                  <c:v>0.66</c:v>
                </c:pt>
                <c:pt idx="42">
                  <c:v>0.67</c:v>
                </c:pt>
                <c:pt idx="43">
                  <c:v>0.68</c:v>
                </c:pt>
                <c:pt idx="44">
                  <c:v>0.69</c:v>
                </c:pt>
                <c:pt idx="45">
                  <c:v>0.7</c:v>
                </c:pt>
                <c:pt idx="46">
                  <c:v>0.71</c:v>
                </c:pt>
                <c:pt idx="47">
                  <c:v>0.72</c:v>
                </c:pt>
                <c:pt idx="48">
                  <c:v>0.73</c:v>
                </c:pt>
                <c:pt idx="49">
                  <c:v>0.74</c:v>
                </c:pt>
                <c:pt idx="50">
                  <c:v>0.75</c:v>
                </c:pt>
                <c:pt idx="51">
                  <c:v>0.76</c:v>
                </c:pt>
                <c:pt idx="52">
                  <c:v>0.77</c:v>
                </c:pt>
                <c:pt idx="53">
                  <c:v>0.78</c:v>
                </c:pt>
                <c:pt idx="54">
                  <c:v>0.79</c:v>
                </c:pt>
                <c:pt idx="55">
                  <c:v>0.8</c:v>
                </c:pt>
                <c:pt idx="56">
                  <c:v>0.81</c:v>
                </c:pt>
                <c:pt idx="57">
                  <c:v>0.820000000000001</c:v>
                </c:pt>
                <c:pt idx="58">
                  <c:v>0.830000000000001</c:v>
                </c:pt>
                <c:pt idx="59">
                  <c:v>0.840000000000001</c:v>
                </c:pt>
                <c:pt idx="60">
                  <c:v>0.850000000000001</c:v>
                </c:pt>
                <c:pt idx="61">
                  <c:v>0.860000000000001</c:v>
                </c:pt>
                <c:pt idx="62">
                  <c:v>0.870000000000001</c:v>
                </c:pt>
                <c:pt idx="63">
                  <c:v>0.880000000000001</c:v>
                </c:pt>
              </c:numCache>
            </c:numRef>
          </c:xVal>
          <c:yVal>
            <c:numRef>
              <c:f>NVTable_RI_EY!$G$36:$G$99</c:f>
              <c:numCache>
                <c:ptCount val="64"/>
                <c:pt idx="0">
                  <c:v>85.26514053021927</c:v>
                </c:pt>
                <c:pt idx="1">
                  <c:v>87.86282689575681</c:v>
                </c:pt>
                <c:pt idx="2">
                  <c:v>90.53965433127597</c:v>
                </c:pt>
                <c:pt idx="3">
                  <c:v>93.29803394731005</c:v>
                </c:pt>
                <c:pt idx="4">
                  <c:v>96.14045031124586</c:v>
                </c:pt>
                <c:pt idx="5">
                  <c:v>99.06946368525946</c:v>
                </c:pt>
                <c:pt idx="6">
                  <c:v>102.087712332432</c:v>
                </c:pt>
                <c:pt idx="7">
                  <c:v>105.19791489312425</c:v>
                </c:pt>
                <c:pt idx="8">
                  <c:v>108.40287283374944</c:v>
                </c:pt>
                <c:pt idx="9">
                  <c:v>111.70547297015013</c:v>
                </c:pt>
                <c:pt idx="10">
                  <c:v>115.10869006785302</c:v>
                </c:pt>
                <c:pt idx="11">
                  <c:v>118.61558952154203</c:v>
                </c:pt>
                <c:pt idx="12">
                  <c:v>122.22933011616519</c:v>
                </c:pt>
                <c:pt idx="13">
                  <c:v>125.95316687216065</c:v>
                </c:pt>
                <c:pt idx="14">
                  <c:v>129.7904539773654</c:v>
                </c:pt>
                <c:pt idx="15">
                  <c:v>133.74464780824795</c:v>
                </c:pt>
                <c:pt idx="16">
                  <c:v>137.81931004318517</c:v>
                </c:pt>
                <c:pt idx="17">
                  <c:v>141.51101817661382</c:v>
                </c:pt>
                <c:pt idx="18">
                  <c:v>139.47786930003474</c:v>
                </c:pt>
                <c:pt idx="19">
                  <c:v>137.38277854330445</c:v>
                </c:pt>
                <c:pt idx="20">
                  <c:v>135.2238587861236</c:v>
                </c:pt>
                <c:pt idx="21">
                  <c:v>132.99916541521688</c:v>
                </c:pt>
                <c:pt idx="22">
                  <c:v>130.70669457275298</c:v>
                </c:pt>
                <c:pt idx="23">
                  <c:v>128.3443813514009</c:v>
                </c:pt>
                <c:pt idx="24">
                  <c:v>125.91009793439706</c:v>
                </c:pt>
                <c:pt idx="25">
                  <c:v>123.40165167894742</c:v>
                </c:pt>
                <c:pt idx="26">
                  <c:v>120.81678314123862</c:v>
                </c:pt>
                <c:pt idx="27">
                  <c:v>118.15316404127941</c:v>
                </c:pt>
                <c:pt idx="28">
                  <c:v>115.40839516573881</c:v>
                </c:pt>
                <c:pt idx="29">
                  <c:v>112.58000420689181</c:v>
                </c:pt>
                <c:pt idx="30">
                  <c:v>109.66544353572729</c:v>
                </c:pt>
                <c:pt idx="31">
                  <c:v>106.66208790721045</c:v>
                </c:pt>
                <c:pt idx="32">
                  <c:v>103.56723209563475</c:v>
                </c:pt>
                <c:pt idx="33">
                  <c:v>100.37808845793172</c:v>
                </c:pt>
                <c:pt idx="34">
                  <c:v>97.0917844227452</c:v>
                </c:pt>
                <c:pt idx="35">
                  <c:v>93.7053599030074</c:v>
                </c:pt>
                <c:pt idx="36">
                  <c:v>90.21576462968687</c:v>
                </c:pt>
                <c:pt idx="37">
                  <c:v>86.61985540430595</c:v>
                </c:pt>
                <c:pt idx="38">
                  <c:v>82.9143932677541</c:v>
                </c:pt>
                <c:pt idx="39">
                  <c:v>79.096040582846</c:v>
                </c:pt>
                <c:pt idx="40">
                  <c:v>75.1613580279966</c:v>
                </c:pt>
                <c:pt idx="41">
                  <c:v>71.10680149930643</c:v>
                </c:pt>
                <c:pt idx="42">
                  <c:v>66.92871891826498</c:v>
                </c:pt>
                <c:pt idx="43">
                  <c:v>62.623346942197934</c:v>
                </c:pt>
                <c:pt idx="44">
                  <c:v>58.186807574495276</c:v>
                </c:pt>
                <c:pt idx="45">
                  <c:v>53.615104671565945</c:v>
                </c:pt>
                <c:pt idx="46">
                  <c:v>48.90412034337471</c:v>
                </c:pt>
                <c:pt idx="47">
                  <c:v>44.04961124431549</c:v>
                </c:pt>
                <c:pt idx="48">
                  <c:v>39.04720475108583</c:v>
                </c:pt>
                <c:pt idx="49">
                  <c:v>33.892395024113384</c:v>
                </c:pt>
                <c:pt idx="50">
                  <c:v>28.58053894899174</c:v>
                </c:pt>
                <c:pt idx="51">
                  <c:v>23.10685195426764</c:v>
                </c:pt>
                <c:pt idx="52">
                  <c:v>17.466403701812705</c:v>
                </c:pt>
                <c:pt idx="53">
                  <c:v>11.65411364589853</c:v>
                </c:pt>
                <c:pt idx="54">
                  <c:v>5.664746456974115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NVTable_RI_EY!$I$35</c:f>
              <c:strCache>
                <c:ptCount val="1"/>
                <c:pt idx="0">
                  <c:v>Actual rate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NVTable_RI_EY!$B$36:$B$99</c:f>
              <c:numCache>
                <c:ptCount val="64"/>
                <c:pt idx="0">
                  <c:v>0.25</c:v>
                </c:pt>
                <c:pt idx="1">
                  <c:v>0.26</c:v>
                </c:pt>
                <c:pt idx="2">
                  <c:v>0.27</c:v>
                </c:pt>
                <c:pt idx="3">
                  <c:v>0.28</c:v>
                </c:pt>
                <c:pt idx="4">
                  <c:v>0.29</c:v>
                </c:pt>
                <c:pt idx="5">
                  <c:v>0.3</c:v>
                </c:pt>
                <c:pt idx="6">
                  <c:v>0.31</c:v>
                </c:pt>
                <c:pt idx="7">
                  <c:v>0.32</c:v>
                </c:pt>
                <c:pt idx="8">
                  <c:v>0.33</c:v>
                </c:pt>
                <c:pt idx="9">
                  <c:v>0.34</c:v>
                </c:pt>
                <c:pt idx="10">
                  <c:v>0.35</c:v>
                </c:pt>
                <c:pt idx="11">
                  <c:v>0.36</c:v>
                </c:pt>
                <c:pt idx="12">
                  <c:v>0.37</c:v>
                </c:pt>
                <c:pt idx="13">
                  <c:v>0.38</c:v>
                </c:pt>
                <c:pt idx="14">
                  <c:v>0.39</c:v>
                </c:pt>
                <c:pt idx="15">
                  <c:v>0.4</c:v>
                </c:pt>
                <c:pt idx="16">
                  <c:v>0.41</c:v>
                </c:pt>
                <c:pt idx="17">
                  <c:v>0.42</c:v>
                </c:pt>
                <c:pt idx="18">
                  <c:v>0.43</c:v>
                </c:pt>
                <c:pt idx="19">
                  <c:v>0.44</c:v>
                </c:pt>
                <c:pt idx="20">
                  <c:v>0.45</c:v>
                </c:pt>
                <c:pt idx="21">
                  <c:v>0.46</c:v>
                </c:pt>
                <c:pt idx="22">
                  <c:v>0.47</c:v>
                </c:pt>
                <c:pt idx="23">
                  <c:v>0.48</c:v>
                </c:pt>
                <c:pt idx="24">
                  <c:v>0.49</c:v>
                </c:pt>
                <c:pt idx="25">
                  <c:v>0.5</c:v>
                </c:pt>
                <c:pt idx="26">
                  <c:v>0.51</c:v>
                </c:pt>
                <c:pt idx="27">
                  <c:v>0.52</c:v>
                </c:pt>
                <c:pt idx="28">
                  <c:v>0.53</c:v>
                </c:pt>
                <c:pt idx="29">
                  <c:v>0.54</c:v>
                </c:pt>
                <c:pt idx="30">
                  <c:v>0.55</c:v>
                </c:pt>
                <c:pt idx="31">
                  <c:v>0.56</c:v>
                </c:pt>
                <c:pt idx="32">
                  <c:v>0.57</c:v>
                </c:pt>
                <c:pt idx="33">
                  <c:v>0.58</c:v>
                </c:pt>
                <c:pt idx="34">
                  <c:v>0.59</c:v>
                </c:pt>
                <c:pt idx="35">
                  <c:v>0.6</c:v>
                </c:pt>
                <c:pt idx="36">
                  <c:v>0.61</c:v>
                </c:pt>
                <c:pt idx="37">
                  <c:v>0.62</c:v>
                </c:pt>
                <c:pt idx="38">
                  <c:v>0.63</c:v>
                </c:pt>
                <c:pt idx="39">
                  <c:v>0.64</c:v>
                </c:pt>
                <c:pt idx="40">
                  <c:v>0.65</c:v>
                </c:pt>
                <c:pt idx="41">
                  <c:v>0.66</c:v>
                </c:pt>
                <c:pt idx="42">
                  <c:v>0.67</c:v>
                </c:pt>
                <c:pt idx="43">
                  <c:v>0.68</c:v>
                </c:pt>
                <c:pt idx="44">
                  <c:v>0.69</c:v>
                </c:pt>
                <c:pt idx="45">
                  <c:v>0.7</c:v>
                </c:pt>
                <c:pt idx="46">
                  <c:v>0.71</c:v>
                </c:pt>
                <c:pt idx="47">
                  <c:v>0.72</c:v>
                </c:pt>
                <c:pt idx="48">
                  <c:v>0.73</c:v>
                </c:pt>
                <c:pt idx="49">
                  <c:v>0.74</c:v>
                </c:pt>
                <c:pt idx="50">
                  <c:v>0.75</c:v>
                </c:pt>
                <c:pt idx="51">
                  <c:v>0.76</c:v>
                </c:pt>
                <c:pt idx="52">
                  <c:v>0.77</c:v>
                </c:pt>
                <c:pt idx="53">
                  <c:v>0.78</c:v>
                </c:pt>
                <c:pt idx="54">
                  <c:v>0.79</c:v>
                </c:pt>
                <c:pt idx="55">
                  <c:v>0.8</c:v>
                </c:pt>
                <c:pt idx="56">
                  <c:v>0.81</c:v>
                </c:pt>
                <c:pt idx="57">
                  <c:v>0.820000000000001</c:v>
                </c:pt>
                <c:pt idx="58">
                  <c:v>0.830000000000001</c:v>
                </c:pt>
                <c:pt idx="59">
                  <c:v>0.840000000000001</c:v>
                </c:pt>
                <c:pt idx="60">
                  <c:v>0.850000000000001</c:v>
                </c:pt>
                <c:pt idx="61">
                  <c:v>0.860000000000001</c:v>
                </c:pt>
                <c:pt idx="62">
                  <c:v>0.870000000000001</c:v>
                </c:pt>
                <c:pt idx="63">
                  <c:v>0.880000000000001</c:v>
                </c:pt>
              </c:numCache>
            </c:numRef>
          </c:xVal>
          <c:yVal>
            <c:numRef>
              <c:f>NVTable_RI_EY!$I$36:$I$99</c:f>
              <c:numCache>
                <c:ptCount val="64"/>
                <c:pt idx="0">
                  <c:v>0</c:v>
                </c:pt>
                <c:pt idx="1">
                  <c:v>86.11084300274787</c:v>
                </c:pt>
                <c:pt idx="2">
                  <c:v>86.11084300274787</c:v>
                </c:pt>
                <c:pt idx="3">
                  <c:v>86.11084300274787</c:v>
                </c:pt>
                <c:pt idx="4">
                  <c:v>100.68621235058032</c:v>
                </c:pt>
                <c:pt idx="5">
                  <c:v>100.68621235058032</c:v>
                </c:pt>
                <c:pt idx="6">
                  <c:v>100.68621235058032</c:v>
                </c:pt>
                <c:pt idx="7">
                  <c:v>100.68621235058032</c:v>
                </c:pt>
                <c:pt idx="8">
                  <c:v>100.68621235058032</c:v>
                </c:pt>
                <c:pt idx="9">
                  <c:v>100.68621235058032</c:v>
                </c:pt>
                <c:pt idx="10">
                  <c:v>100.68621235058032</c:v>
                </c:pt>
                <c:pt idx="11">
                  <c:v>100.68621235058032</c:v>
                </c:pt>
                <c:pt idx="12">
                  <c:v>100.68621235058032</c:v>
                </c:pt>
                <c:pt idx="13">
                  <c:v>100.68621235058032</c:v>
                </c:pt>
                <c:pt idx="14">
                  <c:v>100.68621235058032</c:v>
                </c:pt>
                <c:pt idx="15">
                  <c:v>100.68621235058032</c:v>
                </c:pt>
                <c:pt idx="16">
                  <c:v>100.68621235058032</c:v>
                </c:pt>
                <c:pt idx="17">
                  <c:v>100.68621235058032</c:v>
                </c:pt>
                <c:pt idx="18">
                  <c:v>100.68621235058032</c:v>
                </c:pt>
                <c:pt idx="19">
                  <c:v>100.68621235058032</c:v>
                </c:pt>
                <c:pt idx="20">
                  <c:v>100.68621235058032</c:v>
                </c:pt>
                <c:pt idx="21">
                  <c:v>100.68621235058032</c:v>
                </c:pt>
                <c:pt idx="22">
                  <c:v>100.68621235058032</c:v>
                </c:pt>
                <c:pt idx="23">
                  <c:v>100.68621235058032</c:v>
                </c:pt>
                <c:pt idx="24">
                  <c:v>100.68621235058032</c:v>
                </c:pt>
                <c:pt idx="25">
                  <c:v>100.68621235058032</c:v>
                </c:pt>
                <c:pt idx="26">
                  <c:v>100.68621235058032</c:v>
                </c:pt>
                <c:pt idx="27">
                  <c:v>100.68621235058032</c:v>
                </c:pt>
                <c:pt idx="28">
                  <c:v>100.68621235058032</c:v>
                </c:pt>
                <c:pt idx="29">
                  <c:v>100.68621235058032</c:v>
                </c:pt>
                <c:pt idx="30">
                  <c:v>100.68621235058032</c:v>
                </c:pt>
                <c:pt idx="31">
                  <c:v>100.68621235058032</c:v>
                </c:pt>
                <c:pt idx="32">
                  <c:v>100.68621235058032</c:v>
                </c:pt>
                <c:pt idx="33">
                  <c:v>100.68621235058032</c:v>
                </c:pt>
                <c:pt idx="34">
                  <c:v>100.68621235058032</c:v>
                </c:pt>
                <c:pt idx="35">
                  <c:v>100.68621235058032</c:v>
                </c:pt>
                <c:pt idx="36">
                  <c:v>86.11084300274787</c:v>
                </c:pt>
                <c:pt idx="37">
                  <c:v>86.11084300274787</c:v>
                </c:pt>
                <c:pt idx="38">
                  <c:v>86.11084300274787</c:v>
                </c:pt>
                <c:pt idx="39">
                  <c:v>86.11084300274787</c:v>
                </c:pt>
                <c:pt idx="40">
                  <c:v>71.9231045662875</c:v>
                </c:pt>
                <c:pt idx="41">
                  <c:v>71.9231045662875</c:v>
                </c:pt>
                <c:pt idx="42">
                  <c:v>71.9231045662875</c:v>
                </c:pt>
                <c:pt idx="43">
                  <c:v>57.34773521845503</c:v>
                </c:pt>
                <c:pt idx="44">
                  <c:v>57.34773521845503</c:v>
                </c:pt>
                <c:pt idx="45">
                  <c:v>57.34773521845503</c:v>
                </c:pt>
                <c:pt idx="46">
                  <c:v>43.3384771321253</c:v>
                </c:pt>
                <c:pt idx="47">
                  <c:v>43.3384771321253</c:v>
                </c:pt>
                <c:pt idx="48">
                  <c:v>43.3384771321253</c:v>
                </c:pt>
                <c:pt idx="49">
                  <c:v>28.763107784292856</c:v>
                </c:pt>
                <c:pt idx="50">
                  <c:v>28.763107784292856</c:v>
                </c:pt>
                <c:pt idx="51">
                  <c:v>28.763107784292856</c:v>
                </c:pt>
                <c:pt idx="52">
                  <c:v>14.575369347832464</c:v>
                </c:pt>
                <c:pt idx="53">
                  <c:v>14.575369347832464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1"/>
        </c:ser>
        <c:axId val="50533791"/>
        <c:axId val="52150936"/>
      </c:scatterChart>
      <c:valAx>
        <c:axId val="5053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NDVI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50936"/>
        <c:crosses val="autoZero"/>
        <c:crossBetween val="midCat"/>
        <c:dispUnits/>
      </c:valAx>
      <c:valAx>
        <c:axId val="521509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App. Rate (lb/acre)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337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75"/>
          <c:y val="0.13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NVChart_RI_ADJ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575"/>
          <c:y val="0.10825"/>
          <c:w val="0.704"/>
          <c:h val="0.60675"/>
        </c:manualLayout>
      </c:layout>
      <c:scatterChart>
        <c:scatterStyle val="smooth"/>
        <c:varyColors val="0"/>
        <c:ser>
          <c:idx val="1"/>
          <c:order val="0"/>
          <c:tx>
            <c:strRef>
              <c:f>NVTable_RI_ADJ!$G$35</c:f>
              <c:strCache>
                <c:ptCount val="1"/>
                <c:pt idx="0">
                  <c:v>lbN/acre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NVTable_RI_ADJ!$B$36:$B$99</c:f>
              <c:numCache>
                <c:ptCount val="64"/>
                <c:pt idx="0">
                  <c:v>0.25</c:v>
                </c:pt>
                <c:pt idx="1">
                  <c:v>0.26</c:v>
                </c:pt>
                <c:pt idx="2">
                  <c:v>0.27</c:v>
                </c:pt>
                <c:pt idx="3">
                  <c:v>0.28</c:v>
                </c:pt>
                <c:pt idx="4">
                  <c:v>0.29</c:v>
                </c:pt>
                <c:pt idx="5">
                  <c:v>0.3</c:v>
                </c:pt>
                <c:pt idx="6">
                  <c:v>0.31</c:v>
                </c:pt>
                <c:pt idx="7">
                  <c:v>0.32</c:v>
                </c:pt>
                <c:pt idx="8">
                  <c:v>0.33</c:v>
                </c:pt>
                <c:pt idx="9">
                  <c:v>0.34</c:v>
                </c:pt>
                <c:pt idx="10">
                  <c:v>0.35</c:v>
                </c:pt>
                <c:pt idx="11">
                  <c:v>0.36</c:v>
                </c:pt>
                <c:pt idx="12">
                  <c:v>0.37</c:v>
                </c:pt>
                <c:pt idx="13">
                  <c:v>0.38</c:v>
                </c:pt>
                <c:pt idx="14">
                  <c:v>0.39</c:v>
                </c:pt>
                <c:pt idx="15">
                  <c:v>0.4</c:v>
                </c:pt>
                <c:pt idx="16">
                  <c:v>0.41</c:v>
                </c:pt>
                <c:pt idx="17">
                  <c:v>0.42</c:v>
                </c:pt>
                <c:pt idx="18">
                  <c:v>0.43</c:v>
                </c:pt>
                <c:pt idx="19">
                  <c:v>0.44</c:v>
                </c:pt>
                <c:pt idx="20">
                  <c:v>0.45</c:v>
                </c:pt>
                <c:pt idx="21">
                  <c:v>0.46</c:v>
                </c:pt>
                <c:pt idx="22">
                  <c:v>0.47</c:v>
                </c:pt>
                <c:pt idx="23">
                  <c:v>0.48</c:v>
                </c:pt>
                <c:pt idx="24">
                  <c:v>0.49</c:v>
                </c:pt>
                <c:pt idx="25">
                  <c:v>0.5</c:v>
                </c:pt>
                <c:pt idx="26">
                  <c:v>0.51</c:v>
                </c:pt>
                <c:pt idx="27">
                  <c:v>0.52</c:v>
                </c:pt>
                <c:pt idx="28">
                  <c:v>0.53</c:v>
                </c:pt>
                <c:pt idx="29">
                  <c:v>0.54</c:v>
                </c:pt>
                <c:pt idx="30">
                  <c:v>0.55</c:v>
                </c:pt>
                <c:pt idx="31">
                  <c:v>0.56</c:v>
                </c:pt>
                <c:pt idx="32">
                  <c:v>0.57</c:v>
                </c:pt>
                <c:pt idx="33">
                  <c:v>0.58</c:v>
                </c:pt>
                <c:pt idx="34">
                  <c:v>0.59</c:v>
                </c:pt>
                <c:pt idx="35">
                  <c:v>0.6</c:v>
                </c:pt>
                <c:pt idx="36">
                  <c:v>0.61</c:v>
                </c:pt>
                <c:pt idx="37">
                  <c:v>0.62</c:v>
                </c:pt>
                <c:pt idx="38">
                  <c:v>0.63</c:v>
                </c:pt>
                <c:pt idx="39">
                  <c:v>0.64</c:v>
                </c:pt>
                <c:pt idx="40">
                  <c:v>0.65</c:v>
                </c:pt>
                <c:pt idx="41">
                  <c:v>0.66</c:v>
                </c:pt>
                <c:pt idx="42">
                  <c:v>0.67</c:v>
                </c:pt>
                <c:pt idx="43">
                  <c:v>0.68</c:v>
                </c:pt>
                <c:pt idx="44">
                  <c:v>0.69</c:v>
                </c:pt>
                <c:pt idx="45">
                  <c:v>0.7</c:v>
                </c:pt>
                <c:pt idx="46">
                  <c:v>0.71</c:v>
                </c:pt>
                <c:pt idx="47">
                  <c:v>0.72</c:v>
                </c:pt>
                <c:pt idx="48">
                  <c:v>0.73</c:v>
                </c:pt>
                <c:pt idx="49">
                  <c:v>0.74</c:v>
                </c:pt>
                <c:pt idx="50">
                  <c:v>0.75</c:v>
                </c:pt>
                <c:pt idx="51">
                  <c:v>0.76</c:v>
                </c:pt>
                <c:pt idx="52">
                  <c:v>0.77</c:v>
                </c:pt>
                <c:pt idx="53">
                  <c:v>0.78</c:v>
                </c:pt>
                <c:pt idx="54">
                  <c:v>0.79</c:v>
                </c:pt>
                <c:pt idx="55">
                  <c:v>0.8</c:v>
                </c:pt>
                <c:pt idx="56">
                  <c:v>0.81</c:v>
                </c:pt>
                <c:pt idx="57">
                  <c:v>0.820000000000001</c:v>
                </c:pt>
                <c:pt idx="58">
                  <c:v>0.830000000000001</c:v>
                </c:pt>
                <c:pt idx="59">
                  <c:v>0.840000000000001</c:v>
                </c:pt>
                <c:pt idx="60">
                  <c:v>0.850000000000001</c:v>
                </c:pt>
                <c:pt idx="61">
                  <c:v>0.860000000000001</c:v>
                </c:pt>
                <c:pt idx="62">
                  <c:v>0.870000000000001</c:v>
                </c:pt>
                <c:pt idx="63">
                  <c:v>0.880000000000001</c:v>
                </c:pt>
              </c:numCache>
            </c:numRef>
          </c:xVal>
          <c:yVal>
            <c:numRef>
              <c:f>NVTable_RI_ADJ!$G$36:$G$99</c:f>
              <c:numCache>
                <c:ptCount val="64"/>
                <c:pt idx="0">
                  <c:v>47.579007376676444</c:v>
                </c:pt>
                <c:pt idx="1">
                  <c:v>49.02854863092908</c:v>
                </c:pt>
                <c:pt idx="2">
                  <c:v>50.52225158513365</c:v>
                </c:pt>
                <c:pt idx="3">
                  <c:v>52.061461668912784</c:v>
                </c:pt>
                <c:pt idx="4">
                  <c:v>53.647565301725756</c:v>
                </c:pt>
                <c:pt idx="5">
                  <c:v>55.28199114166424</c:v>
                </c:pt>
                <c:pt idx="6">
                  <c:v>56.966211372293785</c:v>
                </c:pt>
                <c:pt idx="7">
                  <c:v>58.70174302870015</c:v>
                </c:pt>
                <c:pt idx="8">
                  <c:v>60.490149363935096</c:v>
                </c:pt>
                <c:pt idx="9">
                  <c:v>62.33304125709196</c:v>
                </c:pt>
                <c:pt idx="10">
                  <c:v>64.23207866428008</c:v>
                </c:pt>
                <c:pt idx="11">
                  <c:v>66.18897211380411</c:v>
                </c:pt>
                <c:pt idx="12">
                  <c:v>68.20548424689599</c:v>
                </c:pt>
                <c:pt idx="13">
                  <c:v>70.28343140538631</c:v>
                </c:pt>
                <c:pt idx="14">
                  <c:v>72.42468526774586</c:v>
                </c:pt>
                <c:pt idx="15">
                  <c:v>74.63117453497095</c:v>
                </c:pt>
                <c:pt idx="16">
                  <c:v>76.90488666783064</c:v>
                </c:pt>
                <c:pt idx="17">
                  <c:v>79.24786967704092</c:v>
                </c:pt>
                <c:pt idx="18">
                  <c:v>81.66223396797857</c:v>
                </c:pt>
                <c:pt idx="19">
                  <c:v>84.15015424159576</c:v>
                </c:pt>
                <c:pt idx="20">
                  <c:v>86.71387145324805</c:v>
                </c:pt>
                <c:pt idx="21">
                  <c:v>89.35569483119977</c:v>
                </c:pt>
                <c:pt idx="22">
                  <c:v>92.07800395662571</c:v>
                </c:pt>
                <c:pt idx="23">
                  <c:v>94.88325090698132</c:v>
                </c:pt>
                <c:pt idx="24">
                  <c:v>97.7739624646733</c:v>
                </c:pt>
                <c:pt idx="25">
                  <c:v>100.75274239301982</c:v>
                </c:pt>
                <c:pt idx="26">
                  <c:v>103.82227378154897</c:v>
                </c:pt>
                <c:pt idx="27">
                  <c:v>106.98532146275052</c:v>
                </c:pt>
                <c:pt idx="28">
                  <c:v>110.244734502455</c:v>
                </c:pt>
                <c:pt idx="29">
                  <c:v>112.58000420689181</c:v>
                </c:pt>
                <c:pt idx="30">
                  <c:v>109.66544353572729</c:v>
                </c:pt>
                <c:pt idx="31">
                  <c:v>106.66208790721045</c:v>
                </c:pt>
                <c:pt idx="32">
                  <c:v>103.56723209563475</c:v>
                </c:pt>
                <c:pt idx="33">
                  <c:v>100.37808845793172</c:v>
                </c:pt>
                <c:pt idx="34">
                  <c:v>97.0917844227452</c:v>
                </c:pt>
                <c:pt idx="35">
                  <c:v>93.7053599030074</c:v>
                </c:pt>
                <c:pt idx="36">
                  <c:v>90.21576462968687</c:v>
                </c:pt>
                <c:pt idx="37">
                  <c:v>86.61985540430595</c:v>
                </c:pt>
                <c:pt idx="38">
                  <c:v>82.9143932677541</c:v>
                </c:pt>
                <c:pt idx="39">
                  <c:v>79.096040582846</c:v>
                </c:pt>
                <c:pt idx="40">
                  <c:v>75.1613580279966</c:v>
                </c:pt>
                <c:pt idx="41">
                  <c:v>71.10680149930643</c:v>
                </c:pt>
                <c:pt idx="42">
                  <c:v>66.92871891826498</c:v>
                </c:pt>
                <c:pt idx="43">
                  <c:v>62.623346942197934</c:v>
                </c:pt>
                <c:pt idx="44">
                  <c:v>58.186807574495276</c:v>
                </c:pt>
                <c:pt idx="45">
                  <c:v>53.615104671565945</c:v>
                </c:pt>
                <c:pt idx="46">
                  <c:v>48.90412034337471</c:v>
                </c:pt>
                <c:pt idx="47">
                  <c:v>44.04961124431549</c:v>
                </c:pt>
                <c:pt idx="48">
                  <c:v>39.04720475108583</c:v>
                </c:pt>
                <c:pt idx="49">
                  <c:v>33.892395024113384</c:v>
                </c:pt>
                <c:pt idx="50">
                  <c:v>28.58053894899174</c:v>
                </c:pt>
                <c:pt idx="51">
                  <c:v>23.10685195426764</c:v>
                </c:pt>
                <c:pt idx="52">
                  <c:v>17.466403701812705</c:v>
                </c:pt>
                <c:pt idx="53">
                  <c:v>11.65411364589853</c:v>
                </c:pt>
                <c:pt idx="54">
                  <c:v>5.664746456974115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NVTable_RI_ADJ!$I$35</c:f>
              <c:strCache>
                <c:ptCount val="1"/>
                <c:pt idx="0">
                  <c:v>Actual rate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NVTable_RI_ADJ!$B$36:$B$99</c:f>
              <c:numCache>
                <c:ptCount val="64"/>
                <c:pt idx="0">
                  <c:v>0.25</c:v>
                </c:pt>
                <c:pt idx="1">
                  <c:v>0.26</c:v>
                </c:pt>
                <c:pt idx="2">
                  <c:v>0.27</c:v>
                </c:pt>
                <c:pt idx="3">
                  <c:v>0.28</c:v>
                </c:pt>
                <c:pt idx="4">
                  <c:v>0.29</c:v>
                </c:pt>
                <c:pt idx="5">
                  <c:v>0.3</c:v>
                </c:pt>
                <c:pt idx="6">
                  <c:v>0.31</c:v>
                </c:pt>
                <c:pt idx="7">
                  <c:v>0.32</c:v>
                </c:pt>
                <c:pt idx="8">
                  <c:v>0.33</c:v>
                </c:pt>
                <c:pt idx="9">
                  <c:v>0.34</c:v>
                </c:pt>
                <c:pt idx="10">
                  <c:v>0.35</c:v>
                </c:pt>
                <c:pt idx="11">
                  <c:v>0.36</c:v>
                </c:pt>
                <c:pt idx="12">
                  <c:v>0.37</c:v>
                </c:pt>
                <c:pt idx="13">
                  <c:v>0.38</c:v>
                </c:pt>
                <c:pt idx="14">
                  <c:v>0.39</c:v>
                </c:pt>
                <c:pt idx="15">
                  <c:v>0.4</c:v>
                </c:pt>
                <c:pt idx="16">
                  <c:v>0.41</c:v>
                </c:pt>
                <c:pt idx="17">
                  <c:v>0.42</c:v>
                </c:pt>
                <c:pt idx="18">
                  <c:v>0.43</c:v>
                </c:pt>
                <c:pt idx="19">
                  <c:v>0.44</c:v>
                </c:pt>
                <c:pt idx="20">
                  <c:v>0.45</c:v>
                </c:pt>
                <c:pt idx="21">
                  <c:v>0.46</c:v>
                </c:pt>
                <c:pt idx="22">
                  <c:v>0.47</c:v>
                </c:pt>
                <c:pt idx="23">
                  <c:v>0.48</c:v>
                </c:pt>
                <c:pt idx="24">
                  <c:v>0.49</c:v>
                </c:pt>
                <c:pt idx="25">
                  <c:v>0.5</c:v>
                </c:pt>
                <c:pt idx="26">
                  <c:v>0.51</c:v>
                </c:pt>
                <c:pt idx="27">
                  <c:v>0.52</c:v>
                </c:pt>
                <c:pt idx="28">
                  <c:v>0.53</c:v>
                </c:pt>
                <c:pt idx="29">
                  <c:v>0.54</c:v>
                </c:pt>
                <c:pt idx="30">
                  <c:v>0.55</c:v>
                </c:pt>
                <c:pt idx="31">
                  <c:v>0.56</c:v>
                </c:pt>
                <c:pt idx="32">
                  <c:v>0.57</c:v>
                </c:pt>
                <c:pt idx="33">
                  <c:v>0.58</c:v>
                </c:pt>
                <c:pt idx="34">
                  <c:v>0.59</c:v>
                </c:pt>
                <c:pt idx="35">
                  <c:v>0.6</c:v>
                </c:pt>
                <c:pt idx="36">
                  <c:v>0.61</c:v>
                </c:pt>
                <c:pt idx="37">
                  <c:v>0.62</c:v>
                </c:pt>
                <c:pt idx="38">
                  <c:v>0.63</c:v>
                </c:pt>
                <c:pt idx="39">
                  <c:v>0.64</c:v>
                </c:pt>
                <c:pt idx="40">
                  <c:v>0.65</c:v>
                </c:pt>
                <c:pt idx="41">
                  <c:v>0.66</c:v>
                </c:pt>
                <c:pt idx="42">
                  <c:v>0.67</c:v>
                </c:pt>
                <c:pt idx="43">
                  <c:v>0.68</c:v>
                </c:pt>
                <c:pt idx="44">
                  <c:v>0.69</c:v>
                </c:pt>
                <c:pt idx="45">
                  <c:v>0.7</c:v>
                </c:pt>
                <c:pt idx="46">
                  <c:v>0.71</c:v>
                </c:pt>
                <c:pt idx="47">
                  <c:v>0.72</c:v>
                </c:pt>
                <c:pt idx="48">
                  <c:v>0.73</c:v>
                </c:pt>
                <c:pt idx="49">
                  <c:v>0.74</c:v>
                </c:pt>
                <c:pt idx="50">
                  <c:v>0.75</c:v>
                </c:pt>
                <c:pt idx="51">
                  <c:v>0.76</c:v>
                </c:pt>
                <c:pt idx="52">
                  <c:v>0.77</c:v>
                </c:pt>
                <c:pt idx="53">
                  <c:v>0.78</c:v>
                </c:pt>
                <c:pt idx="54">
                  <c:v>0.79</c:v>
                </c:pt>
                <c:pt idx="55">
                  <c:v>0.8</c:v>
                </c:pt>
                <c:pt idx="56">
                  <c:v>0.81</c:v>
                </c:pt>
                <c:pt idx="57">
                  <c:v>0.820000000000001</c:v>
                </c:pt>
                <c:pt idx="58">
                  <c:v>0.830000000000001</c:v>
                </c:pt>
                <c:pt idx="59">
                  <c:v>0.840000000000001</c:v>
                </c:pt>
                <c:pt idx="60">
                  <c:v>0.850000000000001</c:v>
                </c:pt>
                <c:pt idx="61">
                  <c:v>0.860000000000001</c:v>
                </c:pt>
                <c:pt idx="62">
                  <c:v>0.870000000000001</c:v>
                </c:pt>
                <c:pt idx="63">
                  <c:v>0.880000000000001</c:v>
                </c:pt>
              </c:numCache>
            </c:numRef>
          </c:xVal>
          <c:yVal>
            <c:numRef>
              <c:f>NVTable_RI_ADJ!$I$36:$I$99</c:f>
              <c:numCache>
                <c:ptCount val="64"/>
                <c:pt idx="0">
                  <c:v>0</c:v>
                </c:pt>
                <c:pt idx="1">
                  <c:v>43.3384771321253</c:v>
                </c:pt>
                <c:pt idx="2">
                  <c:v>57.34773521845503</c:v>
                </c:pt>
                <c:pt idx="3">
                  <c:v>57.34773521845503</c:v>
                </c:pt>
                <c:pt idx="4">
                  <c:v>57.34773521845503</c:v>
                </c:pt>
                <c:pt idx="5">
                  <c:v>57.34773521845503</c:v>
                </c:pt>
                <c:pt idx="6">
                  <c:v>57.34773521845503</c:v>
                </c:pt>
                <c:pt idx="7">
                  <c:v>57.34773521845503</c:v>
                </c:pt>
                <c:pt idx="8">
                  <c:v>57.34773521845503</c:v>
                </c:pt>
                <c:pt idx="9">
                  <c:v>57.34773521845503</c:v>
                </c:pt>
                <c:pt idx="10">
                  <c:v>57.34773521845503</c:v>
                </c:pt>
                <c:pt idx="11">
                  <c:v>71.9231045662875</c:v>
                </c:pt>
                <c:pt idx="12">
                  <c:v>71.9231045662875</c:v>
                </c:pt>
                <c:pt idx="13">
                  <c:v>71.9231045662875</c:v>
                </c:pt>
                <c:pt idx="14">
                  <c:v>71.9231045662875</c:v>
                </c:pt>
                <c:pt idx="15">
                  <c:v>71.9231045662875</c:v>
                </c:pt>
                <c:pt idx="16">
                  <c:v>71.9231045662875</c:v>
                </c:pt>
                <c:pt idx="17">
                  <c:v>86.11084300274787</c:v>
                </c:pt>
                <c:pt idx="18">
                  <c:v>86.11084300274787</c:v>
                </c:pt>
                <c:pt idx="19">
                  <c:v>86.11084300274787</c:v>
                </c:pt>
                <c:pt idx="20">
                  <c:v>86.11084300274787</c:v>
                </c:pt>
                <c:pt idx="21">
                  <c:v>86.11084300274787</c:v>
                </c:pt>
                <c:pt idx="22">
                  <c:v>86.11084300274787</c:v>
                </c:pt>
                <c:pt idx="23">
                  <c:v>100.68621235058032</c:v>
                </c:pt>
                <c:pt idx="24">
                  <c:v>100.68621235058032</c:v>
                </c:pt>
                <c:pt idx="25">
                  <c:v>100.68621235058032</c:v>
                </c:pt>
                <c:pt idx="26">
                  <c:v>100.68621235058032</c:v>
                </c:pt>
                <c:pt idx="27">
                  <c:v>100.68621235058032</c:v>
                </c:pt>
                <c:pt idx="28">
                  <c:v>100.68621235058032</c:v>
                </c:pt>
                <c:pt idx="29">
                  <c:v>100.68621235058032</c:v>
                </c:pt>
                <c:pt idx="30">
                  <c:v>100.68621235058032</c:v>
                </c:pt>
                <c:pt idx="31">
                  <c:v>100.68621235058032</c:v>
                </c:pt>
                <c:pt idx="32">
                  <c:v>100.68621235058032</c:v>
                </c:pt>
                <c:pt idx="33">
                  <c:v>100.68621235058032</c:v>
                </c:pt>
                <c:pt idx="34">
                  <c:v>100.68621235058032</c:v>
                </c:pt>
                <c:pt idx="35">
                  <c:v>100.68621235058032</c:v>
                </c:pt>
                <c:pt idx="36">
                  <c:v>86.11084300274787</c:v>
                </c:pt>
                <c:pt idx="37">
                  <c:v>86.11084300274787</c:v>
                </c:pt>
                <c:pt idx="38">
                  <c:v>86.11084300274787</c:v>
                </c:pt>
                <c:pt idx="39">
                  <c:v>86.11084300274787</c:v>
                </c:pt>
                <c:pt idx="40">
                  <c:v>71.9231045662875</c:v>
                </c:pt>
                <c:pt idx="41">
                  <c:v>71.9231045662875</c:v>
                </c:pt>
                <c:pt idx="42">
                  <c:v>71.9231045662875</c:v>
                </c:pt>
                <c:pt idx="43">
                  <c:v>57.34773521845503</c:v>
                </c:pt>
                <c:pt idx="44">
                  <c:v>57.34773521845503</c:v>
                </c:pt>
                <c:pt idx="45">
                  <c:v>57.34773521845503</c:v>
                </c:pt>
                <c:pt idx="46">
                  <c:v>43.3384771321253</c:v>
                </c:pt>
                <c:pt idx="47">
                  <c:v>43.3384771321253</c:v>
                </c:pt>
                <c:pt idx="48">
                  <c:v>43.3384771321253</c:v>
                </c:pt>
                <c:pt idx="49">
                  <c:v>28.763107784292856</c:v>
                </c:pt>
                <c:pt idx="50">
                  <c:v>28.763107784292856</c:v>
                </c:pt>
                <c:pt idx="51">
                  <c:v>28.763107784292856</c:v>
                </c:pt>
                <c:pt idx="52">
                  <c:v>14.575369347832464</c:v>
                </c:pt>
                <c:pt idx="53">
                  <c:v>14.575369347832464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1"/>
        </c:ser>
        <c:axId val="66705241"/>
        <c:axId val="63476258"/>
      </c:scatterChart>
      <c:valAx>
        <c:axId val="6670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NDVI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76258"/>
        <c:crosses val="autoZero"/>
        <c:crossBetween val="midCat"/>
        <c:dispUnits/>
      </c:valAx>
      <c:valAx>
        <c:axId val="634762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App. Rate (lb/acre)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052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825"/>
          <c:y val="0.13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Pressure vs. Speed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775"/>
          <c:y val="0.0955"/>
          <c:w val="0.64275"/>
          <c:h val="0.4895"/>
        </c:manualLayout>
      </c:layout>
      <c:scatterChart>
        <c:scatterStyle val="lineMarker"/>
        <c:varyColors val="0"/>
        <c:ser>
          <c:idx val="1"/>
          <c:order val="0"/>
          <c:tx>
            <c:v>Empirical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xVal>
            <c:numRef>
              <c:f>PSTable_New!$B$30:$B$158</c:f>
              <c:numCache>
                <c:ptCount val="129"/>
                <c:pt idx="0">
                  <c:v>0</c:v>
                </c:pt>
                <c:pt idx="1">
                  <c:v>0.15625</c:v>
                </c:pt>
                <c:pt idx="2">
                  <c:v>0.3125</c:v>
                </c:pt>
                <c:pt idx="3">
                  <c:v>0.46875</c:v>
                </c:pt>
                <c:pt idx="4">
                  <c:v>0.625</c:v>
                </c:pt>
                <c:pt idx="5">
                  <c:v>0.78125</c:v>
                </c:pt>
                <c:pt idx="6">
                  <c:v>0.9375</c:v>
                </c:pt>
                <c:pt idx="7">
                  <c:v>1.09375</c:v>
                </c:pt>
                <c:pt idx="8">
                  <c:v>1.25</c:v>
                </c:pt>
                <c:pt idx="9">
                  <c:v>1.40625</c:v>
                </c:pt>
                <c:pt idx="10">
                  <c:v>1.5625</c:v>
                </c:pt>
                <c:pt idx="11">
                  <c:v>1.71875</c:v>
                </c:pt>
                <c:pt idx="12">
                  <c:v>1.875</c:v>
                </c:pt>
                <c:pt idx="13">
                  <c:v>2.03125</c:v>
                </c:pt>
                <c:pt idx="14">
                  <c:v>2.1875</c:v>
                </c:pt>
                <c:pt idx="15">
                  <c:v>2.34375</c:v>
                </c:pt>
                <c:pt idx="16">
                  <c:v>2.5</c:v>
                </c:pt>
                <c:pt idx="17">
                  <c:v>2.65625</c:v>
                </c:pt>
                <c:pt idx="18">
                  <c:v>2.8125</c:v>
                </c:pt>
                <c:pt idx="19">
                  <c:v>2.96875</c:v>
                </c:pt>
                <c:pt idx="20">
                  <c:v>3.125</c:v>
                </c:pt>
                <c:pt idx="21">
                  <c:v>3.28125</c:v>
                </c:pt>
                <c:pt idx="22">
                  <c:v>3.4375</c:v>
                </c:pt>
                <c:pt idx="23">
                  <c:v>3.59375</c:v>
                </c:pt>
                <c:pt idx="24">
                  <c:v>3.75</c:v>
                </c:pt>
                <c:pt idx="25">
                  <c:v>3.90625</c:v>
                </c:pt>
                <c:pt idx="26">
                  <c:v>4.0625</c:v>
                </c:pt>
                <c:pt idx="27">
                  <c:v>4.21875</c:v>
                </c:pt>
                <c:pt idx="28">
                  <c:v>4.375</c:v>
                </c:pt>
                <c:pt idx="29">
                  <c:v>4.53125</c:v>
                </c:pt>
                <c:pt idx="30">
                  <c:v>4.6875</c:v>
                </c:pt>
                <c:pt idx="31">
                  <c:v>4.84375</c:v>
                </c:pt>
                <c:pt idx="32">
                  <c:v>5</c:v>
                </c:pt>
                <c:pt idx="33">
                  <c:v>5.15625</c:v>
                </c:pt>
                <c:pt idx="34">
                  <c:v>5.3125</c:v>
                </c:pt>
                <c:pt idx="35">
                  <c:v>5.46875</c:v>
                </c:pt>
                <c:pt idx="36">
                  <c:v>5.625</c:v>
                </c:pt>
                <c:pt idx="37">
                  <c:v>5.78125</c:v>
                </c:pt>
                <c:pt idx="38">
                  <c:v>5.9375</c:v>
                </c:pt>
                <c:pt idx="39">
                  <c:v>6.09375</c:v>
                </c:pt>
                <c:pt idx="40">
                  <c:v>6.25</c:v>
                </c:pt>
                <c:pt idx="41">
                  <c:v>6.40625</c:v>
                </c:pt>
                <c:pt idx="42">
                  <c:v>6.5625</c:v>
                </c:pt>
                <c:pt idx="43">
                  <c:v>6.71875</c:v>
                </c:pt>
                <c:pt idx="44">
                  <c:v>6.875</c:v>
                </c:pt>
                <c:pt idx="45">
                  <c:v>7.03125</c:v>
                </c:pt>
                <c:pt idx="46">
                  <c:v>7.1875</c:v>
                </c:pt>
                <c:pt idx="47">
                  <c:v>7.34375</c:v>
                </c:pt>
                <c:pt idx="48">
                  <c:v>7.5</c:v>
                </c:pt>
                <c:pt idx="49">
                  <c:v>7.65625</c:v>
                </c:pt>
                <c:pt idx="50">
                  <c:v>7.8125</c:v>
                </c:pt>
                <c:pt idx="51">
                  <c:v>7.96875</c:v>
                </c:pt>
                <c:pt idx="52">
                  <c:v>8.125</c:v>
                </c:pt>
                <c:pt idx="53">
                  <c:v>8.28125</c:v>
                </c:pt>
                <c:pt idx="54">
                  <c:v>8.4375</c:v>
                </c:pt>
                <c:pt idx="55">
                  <c:v>8.59375</c:v>
                </c:pt>
                <c:pt idx="56">
                  <c:v>8.75</c:v>
                </c:pt>
                <c:pt idx="57">
                  <c:v>8.90625</c:v>
                </c:pt>
                <c:pt idx="58">
                  <c:v>9.0625</c:v>
                </c:pt>
                <c:pt idx="59">
                  <c:v>9.21875</c:v>
                </c:pt>
                <c:pt idx="60">
                  <c:v>9.375</c:v>
                </c:pt>
                <c:pt idx="61">
                  <c:v>9.53125</c:v>
                </c:pt>
                <c:pt idx="62">
                  <c:v>9.6875</c:v>
                </c:pt>
                <c:pt idx="63">
                  <c:v>9.84375</c:v>
                </c:pt>
                <c:pt idx="64">
                  <c:v>10</c:v>
                </c:pt>
                <c:pt idx="65">
                  <c:v>10.15625</c:v>
                </c:pt>
                <c:pt idx="66">
                  <c:v>10.3125</c:v>
                </c:pt>
                <c:pt idx="67">
                  <c:v>10.46875</c:v>
                </c:pt>
                <c:pt idx="68">
                  <c:v>10.625</c:v>
                </c:pt>
                <c:pt idx="69">
                  <c:v>10.78125</c:v>
                </c:pt>
                <c:pt idx="70">
                  <c:v>10.9375</c:v>
                </c:pt>
                <c:pt idx="71">
                  <c:v>11.09375</c:v>
                </c:pt>
                <c:pt idx="72">
                  <c:v>11.25</c:v>
                </c:pt>
                <c:pt idx="73">
                  <c:v>11.40625</c:v>
                </c:pt>
                <c:pt idx="74">
                  <c:v>11.5625</c:v>
                </c:pt>
                <c:pt idx="75">
                  <c:v>11.71875</c:v>
                </c:pt>
                <c:pt idx="76">
                  <c:v>11.875</c:v>
                </c:pt>
                <c:pt idx="77">
                  <c:v>12.03125</c:v>
                </c:pt>
                <c:pt idx="78">
                  <c:v>12.1875</c:v>
                </c:pt>
                <c:pt idx="79">
                  <c:v>12.34375</c:v>
                </c:pt>
                <c:pt idx="80">
                  <c:v>12.5</c:v>
                </c:pt>
                <c:pt idx="81">
                  <c:v>12.65625</c:v>
                </c:pt>
                <c:pt idx="82">
                  <c:v>12.8125</c:v>
                </c:pt>
                <c:pt idx="83">
                  <c:v>12.96875</c:v>
                </c:pt>
                <c:pt idx="84">
                  <c:v>13.125</c:v>
                </c:pt>
                <c:pt idx="85">
                  <c:v>13.28125</c:v>
                </c:pt>
                <c:pt idx="86">
                  <c:v>13.4375</c:v>
                </c:pt>
                <c:pt idx="87">
                  <c:v>13.59375</c:v>
                </c:pt>
                <c:pt idx="88">
                  <c:v>13.75</c:v>
                </c:pt>
                <c:pt idx="89">
                  <c:v>13.90625</c:v>
                </c:pt>
                <c:pt idx="90">
                  <c:v>14.0625</c:v>
                </c:pt>
                <c:pt idx="91">
                  <c:v>14.21875</c:v>
                </c:pt>
                <c:pt idx="92">
                  <c:v>14.375</c:v>
                </c:pt>
                <c:pt idx="93">
                  <c:v>14.53125</c:v>
                </c:pt>
                <c:pt idx="94">
                  <c:v>14.6875</c:v>
                </c:pt>
                <c:pt idx="95">
                  <c:v>14.84375</c:v>
                </c:pt>
                <c:pt idx="96">
                  <c:v>15</c:v>
                </c:pt>
                <c:pt idx="97">
                  <c:v>15.15625</c:v>
                </c:pt>
                <c:pt idx="98">
                  <c:v>15.3125</c:v>
                </c:pt>
                <c:pt idx="99">
                  <c:v>15.46875</c:v>
                </c:pt>
                <c:pt idx="100">
                  <c:v>15.625</c:v>
                </c:pt>
                <c:pt idx="101">
                  <c:v>15.78125</c:v>
                </c:pt>
                <c:pt idx="102">
                  <c:v>15.9375</c:v>
                </c:pt>
                <c:pt idx="103">
                  <c:v>16.09375</c:v>
                </c:pt>
                <c:pt idx="104">
                  <c:v>16.25</c:v>
                </c:pt>
                <c:pt idx="105">
                  <c:v>16.40625</c:v>
                </c:pt>
                <c:pt idx="106">
                  <c:v>16.5625</c:v>
                </c:pt>
                <c:pt idx="107">
                  <c:v>16.71875</c:v>
                </c:pt>
                <c:pt idx="108">
                  <c:v>16.875</c:v>
                </c:pt>
                <c:pt idx="109">
                  <c:v>17.03125</c:v>
                </c:pt>
                <c:pt idx="110">
                  <c:v>17.1875</c:v>
                </c:pt>
                <c:pt idx="111">
                  <c:v>17.34375</c:v>
                </c:pt>
                <c:pt idx="112">
                  <c:v>17.5</c:v>
                </c:pt>
                <c:pt idx="113">
                  <c:v>17.65625</c:v>
                </c:pt>
                <c:pt idx="114">
                  <c:v>17.8125</c:v>
                </c:pt>
                <c:pt idx="115">
                  <c:v>17.96875</c:v>
                </c:pt>
                <c:pt idx="116">
                  <c:v>18.125</c:v>
                </c:pt>
                <c:pt idx="117">
                  <c:v>18.28125</c:v>
                </c:pt>
                <c:pt idx="118">
                  <c:v>18.4375</c:v>
                </c:pt>
                <c:pt idx="119">
                  <c:v>18.59375</c:v>
                </c:pt>
                <c:pt idx="120">
                  <c:v>18.75</c:v>
                </c:pt>
                <c:pt idx="121">
                  <c:v>18.90625</c:v>
                </c:pt>
                <c:pt idx="122">
                  <c:v>19.0625</c:v>
                </c:pt>
                <c:pt idx="123">
                  <c:v>19.21875</c:v>
                </c:pt>
                <c:pt idx="124">
                  <c:v>19.375</c:v>
                </c:pt>
                <c:pt idx="125">
                  <c:v>19.53125</c:v>
                </c:pt>
                <c:pt idx="126">
                  <c:v>19.6875</c:v>
                </c:pt>
                <c:pt idx="127">
                  <c:v>19.84375</c:v>
                </c:pt>
                <c:pt idx="128">
                  <c:v>20</c:v>
                </c:pt>
              </c:numCache>
            </c:numRef>
          </c:xVal>
          <c:yVal>
            <c:numRef>
              <c:f>PSTable_New!$E$30:$E$158</c:f>
              <c:numCache>
                <c:ptCount val="129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9</c:v>
                </c:pt>
                <c:pt idx="15">
                  <c:v>9</c:v>
                </c:pt>
                <c:pt idx="16">
                  <c:v>10</c:v>
                </c:pt>
                <c:pt idx="17">
                  <c:v>10</c:v>
                </c:pt>
                <c:pt idx="18">
                  <c:v>11</c:v>
                </c:pt>
                <c:pt idx="19">
                  <c:v>11</c:v>
                </c:pt>
                <c:pt idx="20">
                  <c:v>12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31</c:v>
                </c:pt>
                <c:pt idx="40">
                  <c:v>33</c:v>
                </c:pt>
                <c:pt idx="41">
                  <c:v>34</c:v>
                </c:pt>
                <c:pt idx="42">
                  <c:v>36</c:v>
                </c:pt>
                <c:pt idx="43">
                  <c:v>38</c:v>
                </c:pt>
                <c:pt idx="44">
                  <c:v>40</c:v>
                </c:pt>
                <c:pt idx="45">
                  <c:v>42</c:v>
                </c:pt>
                <c:pt idx="46">
                  <c:v>44</c:v>
                </c:pt>
                <c:pt idx="47">
                  <c:v>46</c:v>
                </c:pt>
                <c:pt idx="48">
                  <c:v>49</c:v>
                </c:pt>
                <c:pt idx="49">
                  <c:v>51</c:v>
                </c:pt>
                <c:pt idx="50">
                  <c:v>54</c:v>
                </c:pt>
                <c:pt idx="51">
                  <c:v>57</c:v>
                </c:pt>
                <c:pt idx="52">
                  <c:v>60</c:v>
                </c:pt>
                <c:pt idx="53">
                  <c:v>63</c:v>
                </c:pt>
                <c:pt idx="54">
                  <c:v>66</c:v>
                </c:pt>
                <c:pt idx="55">
                  <c:v>69</c:v>
                </c:pt>
                <c:pt idx="56">
                  <c:v>73</c:v>
                </c:pt>
                <c:pt idx="57">
                  <c:v>77</c:v>
                </c:pt>
                <c:pt idx="58">
                  <c:v>81</c:v>
                </c:pt>
                <c:pt idx="59">
                  <c:v>85</c:v>
                </c:pt>
                <c:pt idx="60">
                  <c:v>89</c:v>
                </c:pt>
                <c:pt idx="61">
                  <c:v>94</c:v>
                </c:pt>
                <c:pt idx="62">
                  <c:v>99</c:v>
                </c:pt>
                <c:pt idx="63">
                  <c:v>104</c:v>
                </c:pt>
                <c:pt idx="64">
                  <c:v>109</c:v>
                </c:pt>
                <c:pt idx="65">
                  <c:v>115</c:v>
                </c:pt>
                <c:pt idx="66">
                  <c:v>121</c:v>
                </c:pt>
                <c:pt idx="67">
                  <c:v>127</c:v>
                </c:pt>
                <c:pt idx="68">
                  <c:v>134</c:v>
                </c:pt>
                <c:pt idx="69">
                  <c:v>141</c:v>
                </c:pt>
                <c:pt idx="70">
                  <c:v>148</c:v>
                </c:pt>
                <c:pt idx="71">
                  <c:v>156</c:v>
                </c:pt>
                <c:pt idx="72">
                  <c:v>164</c:v>
                </c:pt>
                <c:pt idx="73">
                  <c:v>172</c:v>
                </c:pt>
                <c:pt idx="74">
                  <c:v>181</c:v>
                </c:pt>
                <c:pt idx="75">
                  <c:v>190</c:v>
                </c:pt>
                <c:pt idx="76">
                  <c:v>200</c:v>
                </c:pt>
                <c:pt idx="77">
                  <c:v>211</c:v>
                </c:pt>
                <c:pt idx="78">
                  <c:v>222</c:v>
                </c:pt>
                <c:pt idx="79">
                  <c:v>233</c:v>
                </c:pt>
                <c:pt idx="80">
                  <c:v>245</c:v>
                </c:pt>
                <c:pt idx="81">
                  <c:v>258</c:v>
                </c:pt>
                <c:pt idx="82">
                  <c:v>271</c:v>
                </c:pt>
                <c:pt idx="83">
                  <c:v>285</c:v>
                </c:pt>
                <c:pt idx="84">
                  <c:v>300</c:v>
                </c:pt>
                <c:pt idx="85">
                  <c:v>315</c:v>
                </c:pt>
                <c:pt idx="86">
                  <c:v>332</c:v>
                </c:pt>
                <c:pt idx="87">
                  <c:v>349</c:v>
                </c:pt>
                <c:pt idx="88">
                  <c:v>367</c:v>
                </c:pt>
                <c:pt idx="89">
                  <c:v>386</c:v>
                </c:pt>
                <c:pt idx="90">
                  <c:v>406</c:v>
                </c:pt>
                <c:pt idx="91">
                  <c:v>427</c:v>
                </c:pt>
                <c:pt idx="92">
                  <c:v>449</c:v>
                </c:pt>
                <c:pt idx="93">
                  <c:v>473</c:v>
                </c:pt>
                <c:pt idx="94">
                  <c:v>497</c:v>
                </c:pt>
                <c:pt idx="95">
                  <c:v>523</c:v>
                </c:pt>
                <c:pt idx="96">
                  <c:v>550</c:v>
                </c:pt>
                <c:pt idx="97">
                  <c:v>578</c:v>
                </c:pt>
                <c:pt idx="98">
                  <c:v>608</c:v>
                </c:pt>
                <c:pt idx="99">
                  <c:v>640</c:v>
                </c:pt>
                <c:pt idx="100">
                  <c:v>673</c:v>
                </c:pt>
                <c:pt idx="101">
                  <c:v>708</c:v>
                </c:pt>
                <c:pt idx="102">
                  <c:v>744</c:v>
                </c:pt>
                <c:pt idx="103">
                  <c:v>783</c:v>
                </c:pt>
                <c:pt idx="104">
                  <c:v>823</c:v>
                </c:pt>
                <c:pt idx="105">
                  <c:v>866</c:v>
                </c:pt>
                <c:pt idx="106">
                  <c:v>911</c:v>
                </c:pt>
                <c:pt idx="107">
                  <c:v>958</c:v>
                </c:pt>
                <c:pt idx="108">
                  <c:v>1008</c:v>
                </c:pt>
                <c:pt idx="109">
                  <c:v>1060</c:v>
                </c:pt>
                <c:pt idx="110">
                  <c:v>1115</c:v>
                </c:pt>
                <c:pt idx="111">
                  <c:v>1173</c:v>
                </c:pt>
                <c:pt idx="112">
                  <c:v>1233</c:v>
                </c:pt>
                <c:pt idx="113">
                  <c:v>1297</c:v>
                </c:pt>
                <c:pt idx="114">
                  <c:v>1364</c:v>
                </c:pt>
                <c:pt idx="115">
                  <c:v>1435</c:v>
                </c:pt>
                <c:pt idx="116">
                  <c:v>1509</c:v>
                </c:pt>
                <c:pt idx="117">
                  <c:v>1588</c:v>
                </c:pt>
                <c:pt idx="118">
                  <c:v>1670</c:v>
                </c:pt>
                <c:pt idx="119">
                  <c:v>1756</c:v>
                </c:pt>
                <c:pt idx="120">
                  <c:v>1847</c:v>
                </c:pt>
                <c:pt idx="121">
                  <c:v>1943</c:v>
                </c:pt>
                <c:pt idx="122">
                  <c:v>2043</c:v>
                </c:pt>
                <c:pt idx="123">
                  <c:v>2149</c:v>
                </c:pt>
                <c:pt idx="124">
                  <c:v>2261</c:v>
                </c:pt>
                <c:pt idx="125">
                  <c:v>2378</c:v>
                </c:pt>
                <c:pt idx="126">
                  <c:v>2501</c:v>
                </c:pt>
                <c:pt idx="127">
                  <c:v>2630</c:v>
                </c:pt>
                <c:pt idx="128">
                  <c:v>2766</c:v>
                </c:pt>
              </c:numCache>
            </c:numRef>
          </c:yVal>
          <c:smooth val="0"/>
        </c:ser>
        <c:ser>
          <c:idx val="0"/>
          <c:order val="1"/>
          <c:tx>
            <c:v>2002 method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PSTable_New!$B$30:$B$158</c:f>
              <c:numCache>
                <c:ptCount val="129"/>
                <c:pt idx="0">
                  <c:v>0</c:v>
                </c:pt>
                <c:pt idx="1">
                  <c:v>0.15625</c:v>
                </c:pt>
                <c:pt idx="2">
                  <c:v>0.3125</c:v>
                </c:pt>
                <c:pt idx="3">
                  <c:v>0.46875</c:v>
                </c:pt>
                <c:pt idx="4">
                  <c:v>0.625</c:v>
                </c:pt>
                <c:pt idx="5">
                  <c:v>0.78125</c:v>
                </c:pt>
                <c:pt idx="6">
                  <c:v>0.9375</c:v>
                </c:pt>
                <c:pt idx="7">
                  <c:v>1.09375</c:v>
                </c:pt>
                <c:pt idx="8">
                  <c:v>1.25</c:v>
                </c:pt>
                <c:pt idx="9">
                  <c:v>1.40625</c:v>
                </c:pt>
                <c:pt idx="10">
                  <c:v>1.5625</c:v>
                </c:pt>
                <c:pt idx="11">
                  <c:v>1.71875</c:v>
                </c:pt>
                <c:pt idx="12">
                  <c:v>1.875</c:v>
                </c:pt>
                <c:pt idx="13">
                  <c:v>2.03125</c:v>
                </c:pt>
                <c:pt idx="14">
                  <c:v>2.1875</c:v>
                </c:pt>
                <c:pt idx="15">
                  <c:v>2.34375</c:v>
                </c:pt>
                <c:pt idx="16">
                  <c:v>2.5</c:v>
                </c:pt>
                <c:pt idx="17">
                  <c:v>2.65625</c:v>
                </c:pt>
                <c:pt idx="18">
                  <c:v>2.8125</c:v>
                </c:pt>
                <c:pt idx="19">
                  <c:v>2.96875</c:v>
                </c:pt>
                <c:pt idx="20">
                  <c:v>3.125</c:v>
                </c:pt>
                <c:pt idx="21">
                  <c:v>3.28125</c:v>
                </c:pt>
                <c:pt idx="22">
                  <c:v>3.4375</c:v>
                </c:pt>
                <c:pt idx="23">
                  <c:v>3.59375</c:v>
                </c:pt>
                <c:pt idx="24">
                  <c:v>3.75</c:v>
                </c:pt>
                <c:pt idx="25">
                  <c:v>3.90625</c:v>
                </c:pt>
                <c:pt idx="26">
                  <c:v>4.0625</c:v>
                </c:pt>
                <c:pt idx="27">
                  <c:v>4.21875</c:v>
                </c:pt>
                <c:pt idx="28">
                  <c:v>4.375</c:v>
                </c:pt>
                <c:pt idx="29">
                  <c:v>4.53125</c:v>
                </c:pt>
                <c:pt idx="30">
                  <c:v>4.6875</c:v>
                </c:pt>
                <c:pt idx="31">
                  <c:v>4.84375</c:v>
                </c:pt>
                <c:pt idx="32">
                  <c:v>5</c:v>
                </c:pt>
                <c:pt idx="33">
                  <c:v>5.15625</c:v>
                </c:pt>
                <c:pt idx="34">
                  <c:v>5.3125</c:v>
                </c:pt>
                <c:pt idx="35">
                  <c:v>5.46875</c:v>
                </c:pt>
                <c:pt idx="36">
                  <c:v>5.625</c:v>
                </c:pt>
                <c:pt idx="37">
                  <c:v>5.78125</c:v>
                </c:pt>
                <c:pt idx="38">
                  <c:v>5.9375</c:v>
                </c:pt>
                <c:pt idx="39">
                  <c:v>6.09375</c:v>
                </c:pt>
                <c:pt idx="40">
                  <c:v>6.25</c:v>
                </c:pt>
                <c:pt idx="41">
                  <c:v>6.40625</c:v>
                </c:pt>
                <c:pt idx="42">
                  <c:v>6.5625</c:v>
                </c:pt>
                <c:pt idx="43">
                  <c:v>6.71875</c:v>
                </c:pt>
                <c:pt idx="44">
                  <c:v>6.875</c:v>
                </c:pt>
                <c:pt idx="45">
                  <c:v>7.03125</c:v>
                </c:pt>
                <c:pt idx="46">
                  <c:v>7.1875</c:v>
                </c:pt>
                <c:pt idx="47">
                  <c:v>7.34375</c:v>
                </c:pt>
                <c:pt idx="48">
                  <c:v>7.5</c:v>
                </c:pt>
                <c:pt idx="49">
                  <c:v>7.65625</c:v>
                </c:pt>
                <c:pt idx="50">
                  <c:v>7.8125</c:v>
                </c:pt>
                <c:pt idx="51">
                  <c:v>7.96875</c:v>
                </c:pt>
                <c:pt idx="52">
                  <c:v>8.125</c:v>
                </c:pt>
                <c:pt idx="53">
                  <c:v>8.28125</c:v>
                </c:pt>
                <c:pt idx="54">
                  <c:v>8.4375</c:v>
                </c:pt>
                <c:pt idx="55">
                  <c:v>8.59375</c:v>
                </c:pt>
                <c:pt idx="56">
                  <c:v>8.75</c:v>
                </c:pt>
                <c:pt idx="57">
                  <c:v>8.90625</c:v>
                </c:pt>
                <c:pt idx="58">
                  <c:v>9.0625</c:v>
                </c:pt>
                <c:pt idx="59">
                  <c:v>9.21875</c:v>
                </c:pt>
                <c:pt idx="60">
                  <c:v>9.375</c:v>
                </c:pt>
                <c:pt idx="61">
                  <c:v>9.53125</c:v>
                </c:pt>
                <c:pt idx="62">
                  <c:v>9.6875</c:v>
                </c:pt>
                <c:pt idx="63">
                  <c:v>9.84375</c:v>
                </c:pt>
                <c:pt idx="64">
                  <c:v>10</c:v>
                </c:pt>
                <c:pt idx="65">
                  <c:v>10.15625</c:v>
                </c:pt>
                <c:pt idx="66">
                  <c:v>10.3125</c:v>
                </c:pt>
                <c:pt idx="67">
                  <c:v>10.46875</c:v>
                </c:pt>
                <c:pt idx="68">
                  <c:v>10.625</c:v>
                </c:pt>
                <c:pt idx="69">
                  <c:v>10.78125</c:v>
                </c:pt>
                <c:pt idx="70">
                  <c:v>10.9375</c:v>
                </c:pt>
                <c:pt idx="71">
                  <c:v>11.09375</c:v>
                </c:pt>
                <c:pt idx="72">
                  <c:v>11.25</c:v>
                </c:pt>
                <c:pt idx="73">
                  <c:v>11.40625</c:v>
                </c:pt>
                <c:pt idx="74">
                  <c:v>11.5625</c:v>
                </c:pt>
                <c:pt idx="75">
                  <c:v>11.71875</c:v>
                </c:pt>
                <c:pt idx="76">
                  <c:v>11.875</c:v>
                </c:pt>
                <c:pt idx="77">
                  <c:v>12.03125</c:v>
                </c:pt>
                <c:pt idx="78">
                  <c:v>12.1875</c:v>
                </c:pt>
                <c:pt idx="79">
                  <c:v>12.34375</c:v>
                </c:pt>
                <c:pt idx="80">
                  <c:v>12.5</c:v>
                </c:pt>
                <c:pt idx="81">
                  <c:v>12.65625</c:v>
                </c:pt>
                <c:pt idx="82">
                  <c:v>12.8125</c:v>
                </c:pt>
                <c:pt idx="83">
                  <c:v>12.96875</c:v>
                </c:pt>
                <c:pt idx="84">
                  <c:v>13.125</c:v>
                </c:pt>
                <c:pt idx="85">
                  <c:v>13.28125</c:v>
                </c:pt>
                <c:pt idx="86">
                  <c:v>13.4375</c:v>
                </c:pt>
                <c:pt idx="87">
                  <c:v>13.59375</c:v>
                </c:pt>
                <c:pt idx="88">
                  <c:v>13.75</c:v>
                </c:pt>
                <c:pt idx="89">
                  <c:v>13.90625</c:v>
                </c:pt>
                <c:pt idx="90">
                  <c:v>14.0625</c:v>
                </c:pt>
                <c:pt idx="91">
                  <c:v>14.21875</c:v>
                </c:pt>
                <c:pt idx="92">
                  <c:v>14.375</c:v>
                </c:pt>
                <c:pt idx="93">
                  <c:v>14.53125</c:v>
                </c:pt>
                <c:pt idx="94">
                  <c:v>14.6875</c:v>
                </c:pt>
                <c:pt idx="95">
                  <c:v>14.84375</c:v>
                </c:pt>
                <c:pt idx="96">
                  <c:v>15</c:v>
                </c:pt>
                <c:pt idx="97">
                  <c:v>15.15625</c:v>
                </c:pt>
                <c:pt idx="98">
                  <c:v>15.3125</c:v>
                </c:pt>
                <c:pt idx="99">
                  <c:v>15.46875</c:v>
                </c:pt>
                <c:pt idx="100">
                  <c:v>15.625</c:v>
                </c:pt>
                <c:pt idx="101">
                  <c:v>15.78125</c:v>
                </c:pt>
                <c:pt idx="102">
                  <c:v>15.9375</c:v>
                </c:pt>
                <c:pt idx="103">
                  <c:v>16.09375</c:v>
                </c:pt>
                <c:pt idx="104">
                  <c:v>16.25</c:v>
                </c:pt>
                <c:pt idx="105">
                  <c:v>16.40625</c:v>
                </c:pt>
                <c:pt idx="106">
                  <c:v>16.5625</c:v>
                </c:pt>
                <c:pt idx="107">
                  <c:v>16.71875</c:v>
                </c:pt>
                <c:pt idx="108">
                  <c:v>16.875</c:v>
                </c:pt>
                <c:pt idx="109">
                  <c:v>17.03125</c:v>
                </c:pt>
                <c:pt idx="110">
                  <c:v>17.1875</c:v>
                </c:pt>
                <c:pt idx="111">
                  <c:v>17.34375</c:v>
                </c:pt>
                <c:pt idx="112">
                  <c:v>17.5</c:v>
                </c:pt>
                <c:pt idx="113">
                  <c:v>17.65625</c:v>
                </c:pt>
                <c:pt idx="114">
                  <c:v>17.8125</c:v>
                </c:pt>
                <c:pt idx="115">
                  <c:v>17.96875</c:v>
                </c:pt>
                <c:pt idx="116">
                  <c:v>18.125</c:v>
                </c:pt>
                <c:pt idx="117">
                  <c:v>18.28125</c:v>
                </c:pt>
                <c:pt idx="118">
                  <c:v>18.4375</c:v>
                </c:pt>
                <c:pt idx="119">
                  <c:v>18.59375</c:v>
                </c:pt>
                <c:pt idx="120">
                  <c:v>18.75</c:v>
                </c:pt>
                <c:pt idx="121">
                  <c:v>18.90625</c:v>
                </c:pt>
                <c:pt idx="122">
                  <c:v>19.0625</c:v>
                </c:pt>
                <c:pt idx="123">
                  <c:v>19.21875</c:v>
                </c:pt>
                <c:pt idx="124">
                  <c:v>19.375</c:v>
                </c:pt>
                <c:pt idx="125">
                  <c:v>19.53125</c:v>
                </c:pt>
                <c:pt idx="126">
                  <c:v>19.6875</c:v>
                </c:pt>
                <c:pt idx="127">
                  <c:v>19.84375</c:v>
                </c:pt>
                <c:pt idx="128">
                  <c:v>20</c:v>
                </c:pt>
              </c:numCache>
            </c:numRef>
          </c:xVal>
          <c:yVal>
            <c:numRef>
              <c:f>PSTable_New!$C$30:$C$158</c:f>
              <c:numCach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28</c:v>
                </c:pt>
                <c:pt idx="38">
                  <c:v>29</c:v>
                </c:pt>
                <c:pt idx="39">
                  <c:v>31</c:v>
                </c:pt>
                <c:pt idx="40">
                  <c:v>33</c:v>
                </c:pt>
                <c:pt idx="41">
                  <c:v>34</c:v>
                </c:pt>
                <c:pt idx="42">
                  <c:v>36</c:v>
                </c:pt>
                <c:pt idx="43">
                  <c:v>38</c:v>
                </c:pt>
                <c:pt idx="44">
                  <c:v>39</c:v>
                </c:pt>
                <c:pt idx="45">
                  <c:v>41</c:v>
                </c:pt>
                <c:pt idx="46">
                  <c:v>43</c:v>
                </c:pt>
                <c:pt idx="47">
                  <c:v>45</c:v>
                </c:pt>
                <c:pt idx="48">
                  <c:v>47</c:v>
                </c:pt>
                <c:pt idx="49">
                  <c:v>49</c:v>
                </c:pt>
                <c:pt idx="50">
                  <c:v>51</c:v>
                </c:pt>
                <c:pt idx="51">
                  <c:v>53</c:v>
                </c:pt>
                <c:pt idx="52">
                  <c:v>55</c:v>
                </c:pt>
                <c:pt idx="53">
                  <c:v>57</c:v>
                </c:pt>
                <c:pt idx="54">
                  <c:v>59</c:v>
                </c:pt>
                <c:pt idx="55">
                  <c:v>62</c:v>
                </c:pt>
                <c:pt idx="56">
                  <c:v>64</c:v>
                </c:pt>
                <c:pt idx="57">
                  <c:v>66</c:v>
                </c:pt>
                <c:pt idx="58">
                  <c:v>68</c:v>
                </c:pt>
                <c:pt idx="59">
                  <c:v>71</c:v>
                </c:pt>
                <c:pt idx="60">
                  <c:v>73</c:v>
                </c:pt>
                <c:pt idx="61">
                  <c:v>76</c:v>
                </c:pt>
                <c:pt idx="62">
                  <c:v>78</c:v>
                </c:pt>
                <c:pt idx="63">
                  <c:v>81</c:v>
                </c:pt>
                <c:pt idx="64">
                  <c:v>83</c:v>
                </c:pt>
                <c:pt idx="65">
                  <c:v>86</c:v>
                </c:pt>
                <c:pt idx="66">
                  <c:v>89</c:v>
                </c:pt>
                <c:pt idx="67">
                  <c:v>91</c:v>
                </c:pt>
                <c:pt idx="68">
                  <c:v>94</c:v>
                </c:pt>
                <c:pt idx="69">
                  <c:v>97</c:v>
                </c:pt>
                <c:pt idx="70">
                  <c:v>100</c:v>
                </c:pt>
                <c:pt idx="71">
                  <c:v>103</c:v>
                </c:pt>
                <c:pt idx="72">
                  <c:v>105</c:v>
                </c:pt>
                <c:pt idx="73">
                  <c:v>108</c:v>
                </c:pt>
                <c:pt idx="74">
                  <c:v>111</c:v>
                </c:pt>
                <c:pt idx="75">
                  <c:v>114</c:v>
                </c:pt>
                <c:pt idx="76">
                  <c:v>118</c:v>
                </c:pt>
                <c:pt idx="77">
                  <c:v>121</c:v>
                </c:pt>
                <c:pt idx="78">
                  <c:v>124</c:v>
                </c:pt>
                <c:pt idx="79">
                  <c:v>127</c:v>
                </c:pt>
                <c:pt idx="80">
                  <c:v>130</c:v>
                </c:pt>
                <c:pt idx="81">
                  <c:v>133</c:v>
                </c:pt>
                <c:pt idx="82">
                  <c:v>137</c:v>
                </c:pt>
                <c:pt idx="83">
                  <c:v>140</c:v>
                </c:pt>
                <c:pt idx="84">
                  <c:v>144</c:v>
                </c:pt>
                <c:pt idx="85">
                  <c:v>147</c:v>
                </c:pt>
                <c:pt idx="86">
                  <c:v>150</c:v>
                </c:pt>
                <c:pt idx="87">
                  <c:v>154</c:v>
                </c:pt>
                <c:pt idx="88">
                  <c:v>158</c:v>
                </c:pt>
                <c:pt idx="89">
                  <c:v>161</c:v>
                </c:pt>
                <c:pt idx="90">
                  <c:v>165</c:v>
                </c:pt>
                <c:pt idx="91">
                  <c:v>168</c:v>
                </c:pt>
                <c:pt idx="92">
                  <c:v>172</c:v>
                </c:pt>
                <c:pt idx="93">
                  <c:v>176</c:v>
                </c:pt>
                <c:pt idx="94">
                  <c:v>180</c:v>
                </c:pt>
                <c:pt idx="95">
                  <c:v>184</c:v>
                </c:pt>
                <c:pt idx="96">
                  <c:v>188</c:v>
                </c:pt>
                <c:pt idx="97">
                  <c:v>191</c:v>
                </c:pt>
                <c:pt idx="98">
                  <c:v>195</c:v>
                </c:pt>
                <c:pt idx="99">
                  <c:v>199</c:v>
                </c:pt>
                <c:pt idx="100">
                  <c:v>203</c:v>
                </c:pt>
                <c:pt idx="101">
                  <c:v>208</c:v>
                </c:pt>
                <c:pt idx="102">
                  <c:v>212</c:v>
                </c:pt>
                <c:pt idx="103">
                  <c:v>216</c:v>
                </c:pt>
                <c:pt idx="104">
                  <c:v>220</c:v>
                </c:pt>
                <c:pt idx="105">
                  <c:v>224</c:v>
                </c:pt>
                <c:pt idx="106">
                  <c:v>229</c:v>
                </c:pt>
                <c:pt idx="107">
                  <c:v>233</c:v>
                </c:pt>
                <c:pt idx="108">
                  <c:v>237</c:v>
                </c:pt>
                <c:pt idx="109">
                  <c:v>242</c:v>
                </c:pt>
                <c:pt idx="110">
                  <c:v>246</c:v>
                </c:pt>
                <c:pt idx="111">
                  <c:v>251</c:v>
                </c:pt>
                <c:pt idx="112">
                  <c:v>255</c:v>
                </c:pt>
                <c:pt idx="113">
                  <c:v>260</c:v>
                </c:pt>
                <c:pt idx="114">
                  <c:v>264</c:v>
                </c:pt>
                <c:pt idx="115">
                  <c:v>269</c:v>
                </c:pt>
                <c:pt idx="116">
                  <c:v>274</c:v>
                </c:pt>
                <c:pt idx="117">
                  <c:v>279</c:v>
                </c:pt>
                <c:pt idx="118">
                  <c:v>283</c:v>
                </c:pt>
                <c:pt idx="119">
                  <c:v>288</c:v>
                </c:pt>
                <c:pt idx="120">
                  <c:v>293</c:v>
                </c:pt>
                <c:pt idx="121">
                  <c:v>298</c:v>
                </c:pt>
                <c:pt idx="122">
                  <c:v>303</c:v>
                </c:pt>
                <c:pt idx="123">
                  <c:v>308</c:v>
                </c:pt>
                <c:pt idx="124">
                  <c:v>313</c:v>
                </c:pt>
                <c:pt idx="125">
                  <c:v>318</c:v>
                </c:pt>
                <c:pt idx="126">
                  <c:v>323</c:v>
                </c:pt>
                <c:pt idx="127">
                  <c:v>328</c:v>
                </c:pt>
                <c:pt idx="128">
                  <c:v>333</c:v>
                </c:pt>
              </c:numCache>
            </c:numRef>
          </c:yVal>
          <c:smooth val="1"/>
        </c:ser>
        <c:axId val="34415411"/>
        <c:axId val="41303244"/>
      </c:scatterChart>
      <c:valAx>
        <c:axId val="34415411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900" b="1" i="0" u="none" baseline="0">
                <a:latin typeface="Arial"/>
                <a:ea typeface="Arial"/>
                <a:cs typeface="Arial"/>
              </a:defRPr>
            </a:pPr>
          </a:p>
        </c:txPr>
        <c:crossAx val="41303244"/>
        <c:crosses val="autoZero"/>
        <c:crossBetween val="midCat"/>
        <c:dispUnits/>
      </c:valAx>
      <c:valAx>
        <c:axId val="4130324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900" b="1" i="0" u="none" baseline="0">
                <a:latin typeface="Arial"/>
                <a:ea typeface="Arial"/>
                <a:cs typeface="Arial"/>
              </a:defRPr>
            </a:pPr>
          </a:p>
        </c:txPr>
        <c:crossAx val="34415411"/>
        <c:crosses val="autoZero"/>
        <c:crossBetween val="midCat"/>
        <c:dispUnits/>
        <c:majorUnit val="2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39475"/>
          <c:y val="0.1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781050</xdr:colOff>
      <xdr:row>6</xdr:row>
      <xdr:rowOff>0</xdr:rowOff>
    </xdr:from>
    <xdr:to>
      <xdr:col>11</xdr:col>
      <xdr:colOff>895350</xdr:colOff>
      <xdr:row>15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076325"/>
          <a:ext cx="2095500" cy="1628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723900</xdr:colOff>
      <xdr:row>17</xdr:row>
      <xdr:rowOff>85725</xdr:rowOff>
    </xdr:from>
    <xdr:to>
      <xdr:col>11</xdr:col>
      <xdr:colOff>438150</xdr:colOff>
      <xdr:row>19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3000375"/>
          <a:ext cx="1695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20800" cy="9305925"/>
    <xdr:graphicFrame>
      <xdr:nvGraphicFramePr>
        <xdr:cNvPr id="1" name="Shape 1025"/>
        <xdr:cNvGraphicFramePr/>
      </xdr:nvGraphicFramePr>
      <xdr:xfrm>
        <a:off x="0" y="0"/>
        <a:ext cx="140208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6</xdr:row>
      <xdr:rowOff>0</xdr:rowOff>
    </xdr:from>
    <xdr:to>
      <xdr:col>11</xdr:col>
      <xdr:colOff>866775</xdr:colOff>
      <xdr:row>16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076325"/>
          <a:ext cx="2095500" cy="1628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20800" cy="9305925"/>
    <xdr:graphicFrame>
      <xdr:nvGraphicFramePr>
        <xdr:cNvPr id="1" name="Shape 1025"/>
        <xdr:cNvGraphicFramePr/>
      </xdr:nvGraphicFramePr>
      <xdr:xfrm>
        <a:off x="0" y="0"/>
        <a:ext cx="140208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6</xdr:row>
      <xdr:rowOff>0</xdr:rowOff>
    </xdr:from>
    <xdr:to>
      <xdr:col>11</xdr:col>
      <xdr:colOff>866775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076325"/>
          <a:ext cx="2095500" cy="1628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20800" cy="9305925"/>
    <xdr:graphicFrame>
      <xdr:nvGraphicFramePr>
        <xdr:cNvPr id="1" name="Shape 1025"/>
        <xdr:cNvGraphicFramePr/>
      </xdr:nvGraphicFramePr>
      <xdr:xfrm>
        <a:off x="0" y="0"/>
        <a:ext cx="140208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752475</xdr:colOff>
      <xdr:row>6</xdr:row>
      <xdr:rowOff>0</xdr:rowOff>
    </xdr:from>
    <xdr:to>
      <xdr:col>11</xdr:col>
      <xdr:colOff>895350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1076325"/>
          <a:ext cx="2095500" cy="1628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714375</xdr:colOff>
      <xdr:row>21</xdr:row>
      <xdr:rowOff>38100</xdr:rowOff>
    </xdr:from>
    <xdr:to>
      <xdr:col>11</xdr:col>
      <xdr:colOff>457200</xdr:colOff>
      <xdr:row>23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3600450"/>
          <a:ext cx="1695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752475</xdr:colOff>
      <xdr:row>6</xdr:row>
      <xdr:rowOff>0</xdr:rowOff>
    </xdr:from>
    <xdr:to>
      <xdr:col>11</xdr:col>
      <xdr:colOff>895350</xdr:colOff>
      <xdr:row>16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076325"/>
          <a:ext cx="2095500" cy="1628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20800" cy="9305925"/>
    <xdr:graphicFrame>
      <xdr:nvGraphicFramePr>
        <xdr:cNvPr id="1" name="Shape 1025"/>
        <xdr:cNvGraphicFramePr/>
      </xdr:nvGraphicFramePr>
      <xdr:xfrm>
        <a:off x="0" y="0"/>
        <a:ext cx="140208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752475</xdr:colOff>
      <xdr:row>6</xdr:row>
      <xdr:rowOff>0</xdr:rowOff>
    </xdr:from>
    <xdr:to>
      <xdr:col>11</xdr:col>
      <xdr:colOff>895350</xdr:colOff>
      <xdr:row>16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076325"/>
          <a:ext cx="2095500" cy="1628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20800" cy="9305925"/>
    <xdr:graphicFrame>
      <xdr:nvGraphicFramePr>
        <xdr:cNvPr id="1" name="Shape 1025"/>
        <xdr:cNvGraphicFramePr/>
      </xdr:nvGraphicFramePr>
      <xdr:xfrm>
        <a:off x="0" y="0"/>
        <a:ext cx="140208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6</xdr:row>
      <xdr:rowOff>0</xdr:rowOff>
    </xdr:from>
    <xdr:to>
      <xdr:col>11</xdr:col>
      <xdr:colOff>866775</xdr:colOff>
      <xdr:row>16</xdr:row>
      <xdr:rowOff>9525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076325"/>
          <a:ext cx="2095500" cy="1628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20800" cy="9305925"/>
    <xdr:graphicFrame>
      <xdr:nvGraphicFramePr>
        <xdr:cNvPr id="1" name="Shape 1025"/>
        <xdr:cNvGraphicFramePr/>
      </xdr:nvGraphicFramePr>
      <xdr:xfrm>
        <a:off x="0" y="0"/>
        <a:ext cx="140208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6</xdr:row>
      <xdr:rowOff>0</xdr:rowOff>
    </xdr:from>
    <xdr:to>
      <xdr:col>11</xdr:col>
      <xdr:colOff>866775</xdr:colOff>
      <xdr:row>15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076325"/>
          <a:ext cx="2095500" cy="1628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432"/>
  <sheetViews>
    <sheetView tabSelected="1" zoomScale="85" zoomScaleNormal="85" workbookViewId="0" topLeftCell="A1">
      <selection activeCell="F8" sqref="F8"/>
    </sheetView>
  </sheetViews>
  <sheetFormatPr defaultColWidth="9.140625" defaultRowHeight="12.75"/>
  <cols>
    <col min="2" max="2" width="13.28125" style="0" customWidth="1"/>
    <col min="3" max="3" width="17.8515625" style="0" bestFit="1" customWidth="1"/>
    <col min="4" max="4" width="11.57421875" style="0" customWidth="1"/>
    <col min="5" max="5" width="19.421875" style="0" customWidth="1"/>
    <col min="6" max="6" width="15.421875" style="0" bestFit="1" customWidth="1"/>
    <col min="7" max="7" width="20.140625" style="0" bestFit="1" customWidth="1"/>
    <col min="8" max="9" width="11.7109375" style="1" customWidth="1"/>
    <col min="10" max="10" width="6.57421875" style="0" customWidth="1"/>
    <col min="11" max="11" width="11.421875" style="0" customWidth="1"/>
    <col min="12" max="12" width="13.7109375" style="0" customWidth="1"/>
    <col min="13" max="13" width="22.8515625" style="4" customWidth="1"/>
    <col min="14" max="15" width="9.140625" style="4" customWidth="1"/>
  </cols>
  <sheetData>
    <row r="1" spans="1:15" ht="12.75">
      <c r="A1" s="220" t="s">
        <v>86</v>
      </c>
      <c r="B1" s="232"/>
      <c r="C1" s="232"/>
      <c r="D1" s="232"/>
      <c r="E1" s="232"/>
      <c r="F1" s="232"/>
      <c r="G1" s="232"/>
      <c r="H1" s="232"/>
      <c r="I1" s="232"/>
      <c r="J1" s="33"/>
      <c r="K1" s="33"/>
      <c r="L1" s="33"/>
      <c r="M1" s="5"/>
      <c r="N1" s="5"/>
      <c r="O1" s="5"/>
    </row>
    <row r="2" spans="1:15" ht="12.75">
      <c r="A2" s="233"/>
      <c r="B2" s="232"/>
      <c r="C2" s="232"/>
      <c r="D2" s="232"/>
      <c r="E2" s="232"/>
      <c r="F2" s="232"/>
      <c r="G2" s="232"/>
      <c r="H2" s="232"/>
      <c r="I2" s="232"/>
      <c r="J2" s="33"/>
      <c r="K2" s="33"/>
      <c r="L2" s="33"/>
      <c r="M2" s="5"/>
      <c r="N2" s="5"/>
      <c r="O2" s="5"/>
    </row>
    <row r="3" spans="1:15" ht="12.75">
      <c r="A3" s="232"/>
      <c r="B3" s="232"/>
      <c r="C3" s="232"/>
      <c r="D3" s="232"/>
      <c r="E3" s="232"/>
      <c r="F3" s="232"/>
      <c r="G3" s="232"/>
      <c r="H3" s="232"/>
      <c r="I3" s="232"/>
      <c r="J3" s="33"/>
      <c r="K3" s="33"/>
      <c r="L3" s="33"/>
      <c r="M3" s="5"/>
      <c r="N3" s="5"/>
      <c r="O3" s="5"/>
    </row>
    <row r="4" spans="1:15" ht="12.75">
      <c r="A4" s="232"/>
      <c r="B4" s="232"/>
      <c r="C4" s="232"/>
      <c r="D4" s="232"/>
      <c r="E4" s="232"/>
      <c r="F4" s="232"/>
      <c r="G4" s="232"/>
      <c r="H4" s="232"/>
      <c r="I4" s="232"/>
      <c r="J4" s="33"/>
      <c r="K4" s="33"/>
      <c r="L4" s="33"/>
      <c r="M4" s="5"/>
      <c r="N4" s="5"/>
      <c r="O4" s="5"/>
    </row>
    <row r="5" spans="1:15" ht="20.25">
      <c r="A5" s="34"/>
      <c r="B5" s="32"/>
      <c r="C5" s="32"/>
      <c r="D5" s="32"/>
      <c r="E5" s="32"/>
      <c r="F5" s="32"/>
      <c r="G5" s="32"/>
      <c r="H5" s="32"/>
      <c r="I5" s="32"/>
      <c r="J5" s="33"/>
      <c r="K5" s="33"/>
      <c r="L5" s="33"/>
      <c r="M5" s="5"/>
      <c r="N5" s="5"/>
      <c r="O5" s="5"/>
    </row>
    <row r="6" spans="1:15" ht="13.5" thickBot="1">
      <c r="A6" s="234" t="s">
        <v>15</v>
      </c>
      <c r="B6" s="235"/>
      <c r="C6" s="235"/>
      <c r="D6" s="235"/>
      <c r="E6" s="235"/>
      <c r="F6" s="235" t="s">
        <v>9</v>
      </c>
      <c r="G6" s="235"/>
      <c r="H6" s="235"/>
      <c r="I6" s="235"/>
      <c r="J6" s="35"/>
      <c r="K6" s="35"/>
      <c r="L6" s="35"/>
      <c r="M6" s="5"/>
      <c r="N6" s="5"/>
      <c r="O6" s="5"/>
    </row>
    <row r="7" spans="1:15" ht="13.5" thickBot="1">
      <c r="A7" s="59"/>
      <c r="B7" s="65" t="s">
        <v>20</v>
      </c>
      <c r="C7" s="65" t="s">
        <v>21</v>
      </c>
      <c r="D7" s="63" t="s">
        <v>133</v>
      </c>
      <c r="E7" s="59"/>
      <c r="F7" s="165" t="s">
        <v>45</v>
      </c>
      <c r="G7" s="165" t="s">
        <v>87</v>
      </c>
      <c r="H7" s="165" t="s">
        <v>88</v>
      </c>
      <c r="I7" s="165" t="s">
        <v>89</v>
      </c>
      <c r="J7" s="59"/>
      <c r="K7" s="59"/>
      <c r="L7" s="59"/>
      <c r="M7" s="5"/>
      <c r="N7" s="5"/>
      <c r="O7" s="5"/>
    </row>
    <row r="8" spans="1:15" ht="13.5" thickBot="1">
      <c r="A8" s="59"/>
      <c r="B8" s="46">
        <v>0.32</v>
      </c>
      <c r="C8" s="53">
        <v>0.7</v>
      </c>
      <c r="D8" s="41">
        <v>0.8</v>
      </c>
      <c r="E8" s="59"/>
      <c r="F8" s="86">
        <f>IF(L47=2,VLOOKUP(D47,A47:B48,2),IF(L47=1,VLOOKUP(D52,A52:B53,2),VLOOKUP(D57,A57:B58,2)))</f>
        <v>0.532</v>
      </c>
      <c r="G8" s="87">
        <f>IF(L47=1,F52,IF(L47=2,F47,F57))</f>
        <v>270.1</v>
      </c>
      <c r="H8" s="87">
        <f>IF(L47=1,G52,IF(L47=2,G47,G57))</f>
        <v>0.0239</v>
      </c>
      <c r="I8" s="87">
        <f>IF(L47=1,H52,IF(L47=2,H47,H57))</f>
        <v>60</v>
      </c>
      <c r="J8" s="59"/>
      <c r="K8" s="59"/>
      <c r="L8" s="59"/>
      <c r="M8" s="5"/>
      <c r="N8" s="5"/>
      <c r="O8" s="5"/>
    </row>
    <row r="9" spans="1:15" ht="12.75">
      <c r="A9" s="59"/>
      <c r="B9" s="61"/>
      <c r="C9" s="61"/>
      <c r="D9" s="59"/>
      <c r="E9" s="59"/>
      <c r="F9" s="59"/>
      <c r="G9" s="59"/>
      <c r="H9" s="59"/>
      <c r="I9" s="61"/>
      <c r="J9" s="59"/>
      <c r="K9" s="59"/>
      <c r="L9" s="59"/>
      <c r="M9" s="5"/>
      <c r="N9" s="5"/>
      <c r="O9" s="5"/>
    </row>
    <row r="10" spans="1:15" ht="12.75">
      <c r="A10" s="59"/>
      <c r="B10" s="63" t="s">
        <v>80</v>
      </c>
      <c r="C10" s="61"/>
      <c r="D10" s="65" t="s">
        <v>50</v>
      </c>
      <c r="E10" s="59"/>
      <c r="F10" s="63" t="s">
        <v>47</v>
      </c>
      <c r="G10" s="59"/>
      <c r="H10" s="59"/>
      <c r="I10" s="61"/>
      <c r="J10" s="59"/>
      <c r="K10" s="59"/>
      <c r="L10" s="59"/>
      <c r="M10" s="5"/>
      <c r="N10" s="5"/>
      <c r="O10" s="5"/>
    </row>
    <row r="11" spans="1:15" ht="12.75">
      <c r="A11" s="59"/>
      <c r="B11" s="59"/>
      <c r="C11" s="68"/>
      <c r="D11" s="59"/>
      <c r="E11" s="59"/>
      <c r="F11" s="59"/>
      <c r="G11" s="59"/>
      <c r="H11" s="59"/>
      <c r="I11" s="61"/>
      <c r="J11" s="59"/>
      <c r="K11" s="59"/>
      <c r="L11" s="59"/>
      <c r="M11" s="5"/>
      <c r="N11" s="5"/>
      <c r="O11" s="5"/>
    </row>
    <row r="12" spans="1:15" ht="12.75">
      <c r="A12" s="59"/>
      <c r="B12" s="68"/>
      <c r="C12" s="68"/>
      <c r="D12" s="59"/>
      <c r="E12" s="36"/>
      <c r="F12" s="59"/>
      <c r="G12" s="59"/>
      <c r="H12" s="59"/>
      <c r="I12" s="61"/>
      <c r="J12" s="59"/>
      <c r="K12" s="59"/>
      <c r="L12" s="59"/>
      <c r="M12" s="5"/>
      <c r="N12" s="5"/>
      <c r="O12" s="5"/>
    </row>
    <row r="13" spans="1:15" ht="13.5" thickBot="1">
      <c r="A13" s="59"/>
      <c r="B13" s="67" t="s">
        <v>22</v>
      </c>
      <c r="C13" s="68"/>
      <c r="D13" s="59"/>
      <c r="E13" s="36"/>
      <c r="F13" s="59"/>
      <c r="G13" s="61"/>
      <c r="H13" s="59"/>
      <c r="I13" s="61"/>
      <c r="J13" s="59"/>
      <c r="K13" s="59"/>
      <c r="L13" s="59"/>
      <c r="M13" s="5"/>
      <c r="O13" s="5"/>
    </row>
    <row r="14" spans="1:15" ht="13.5" thickBot="1">
      <c r="A14" s="59"/>
      <c r="B14" s="39">
        <v>0.6</v>
      </c>
      <c r="C14" s="61" t="s">
        <v>23</v>
      </c>
      <c r="D14" s="59"/>
      <c r="E14" s="36"/>
      <c r="F14" s="59"/>
      <c r="G14" s="59"/>
      <c r="H14" s="61"/>
      <c r="I14" s="61"/>
      <c r="J14" s="59"/>
      <c r="K14" s="59"/>
      <c r="L14" s="59"/>
      <c r="M14" s="5"/>
      <c r="O14" s="5"/>
    </row>
    <row r="15" spans="1:15" ht="12.75">
      <c r="A15" s="66"/>
      <c r="B15" s="61"/>
      <c r="C15" s="61"/>
      <c r="D15" s="59"/>
      <c r="E15" s="59"/>
      <c r="F15" s="59"/>
      <c r="G15" s="59"/>
      <c r="H15" s="59"/>
      <c r="I15" s="61"/>
      <c r="J15" s="59"/>
      <c r="K15" s="59"/>
      <c r="L15" s="59"/>
      <c r="M15" s="5"/>
      <c r="O15" s="5"/>
    </row>
    <row r="16" spans="1:15" ht="13.5" thickBot="1">
      <c r="A16" s="66"/>
      <c r="B16" s="139" t="s">
        <v>0</v>
      </c>
      <c r="C16" s="139" t="str">
        <f>IF(L47=1,"GDD&gt;0","Days from Planting")</f>
        <v>GDD&gt;0</v>
      </c>
      <c r="D16" s="59"/>
      <c r="E16" s="139" t="s">
        <v>24</v>
      </c>
      <c r="F16" s="59"/>
      <c r="G16" s="63"/>
      <c r="H16" s="59"/>
      <c r="I16" s="59"/>
      <c r="J16" s="59"/>
      <c r="K16" s="59"/>
      <c r="L16" s="59"/>
      <c r="M16" s="5"/>
      <c r="O16" s="5"/>
    </row>
    <row r="17" spans="1:15" ht="13.5" thickBot="1">
      <c r="A17" s="59"/>
      <c r="B17" s="172">
        <f>IF(C62=4,IF(C8/B8&lt;1.7,1.69*(C8/B8)-0.7,$C$8/$B$8),IF(C62=3,((F8*EXP(C8/C17*G8))/(F8*EXP(B8/C17*G8))),C8/B8))</f>
        <v>2.1875</v>
      </c>
      <c r="C17" s="41">
        <v>90</v>
      </c>
      <c r="D17" s="59"/>
      <c r="E17" s="40" t="s">
        <v>267</v>
      </c>
      <c r="F17" s="42"/>
      <c r="G17" s="42"/>
      <c r="H17" s="43"/>
      <c r="I17" s="59"/>
      <c r="J17" s="59"/>
      <c r="K17" s="59"/>
      <c r="L17" s="59"/>
      <c r="M17" s="5"/>
      <c r="O17" s="5"/>
    </row>
    <row r="18" spans="1:15" ht="12.75">
      <c r="A18" s="59"/>
      <c r="B18" s="61"/>
      <c r="C18" s="61"/>
      <c r="D18" s="59"/>
      <c r="E18" s="59"/>
      <c r="F18" s="59"/>
      <c r="G18" s="63"/>
      <c r="H18" s="59"/>
      <c r="I18" s="59"/>
      <c r="J18" s="59"/>
      <c r="K18" s="59"/>
      <c r="L18" s="59"/>
      <c r="M18" s="5"/>
      <c r="O18" s="5"/>
    </row>
    <row r="19" spans="1:15" ht="13.5" thickBot="1">
      <c r="A19" s="59"/>
      <c r="B19" s="65" t="str">
        <f>IF(L47=1,"Winter wheat max yield, bu/ac",IF(L47=2,"Spring wheat max yield, bu/ac","Corn max yield, bu/ac"))</f>
        <v>Winter wheat max yield, bu/ac</v>
      </c>
      <c r="C19" s="67"/>
      <c r="D19" s="59"/>
      <c r="E19" s="139" t="s">
        <v>25</v>
      </c>
      <c r="F19" s="59"/>
      <c r="G19" s="65"/>
      <c r="H19" s="61"/>
      <c r="I19" s="61"/>
      <c r="J19" s="59"/>
      <c r="K19" s="59"/>
      <c r="L19" s="59"/>
      <c r="M19" s="5"/>
      <c r="O19" s="5"/>
    </row>
    <row r="20" spans="1:15" ht="13.5" thickBot="1">
      <c r="A20" s="59"/>
      <c r="B20" s="41">
        <f>IF(L47&lt;3,90,IF(D47=1,200,250))</f>
        <v>90</v>
      </c>
      <c r="C20" s="61"/>
      <c r="D20" s="59"/>
      <c r="E20" s="44" t="s">
        <v>268</v>
      </c>
      <c r="F20" s="45"/>
      <c r="G20" s="37"/>
      <c r="H20" s="38"/>
      <c r="I20" s="61"/>
      <c r="J20" s="59"/>
      <c r="K20" s="59"/>
      <c r="L20" s="59"/>
      <c r="M20" s="5"/>
      <c r="O20" s="5"/>
    </row>
    <row r="21" spans="1:15" ht="12.75">
      <c r="A21" s="59"/>
      <c r="B21" s="59"/>
      <c r="C21" s="59"/>
      <c r="D21" s="59"/>
      <c r="E21" s="59"/>
      <c r="F21" s="59"/>
      <c r="G21" s="65"/>
      <c r="H21" s="59"/>
      <c r="I21" s="61"/>
      <c r="J21" s="59"/>
      <c r="K21" s="59"/>
      <c r="L21" s="59"/>
      <c r="M21" s="5"/>
      <c r="O21" s="5"/>
    </row>
    <row r="22" spans="1:15" ht="13.5" thickBot="1">
      <c r="A22" s="59"/>
      <c r="B22" s="63" t="s">
        <v>53</v>
      </c>
      <c r="C22" s="63" t="s">
        <v>65</v>
      </c>
      <c r="D22" s="59"/>
      <c r="E22" s="139" t="s">
        <v>265</v>
      </c>
      <c r="F22" s="59"/>
      <c r="G22" s="63"/>
      <c r="H22" s="61"/>
      <c r="I22" s="61"/>
      <c r="J22" s="59"/>
      <c r="K22" s="59"/>
      <c r="L22" s="59"/>
      <c r="M22" s="5"/>
      <c r="O22" s="5"/>
    </row>
    <row r="23" spans="1:15" ht="13.5" thickBot="1">
      <c r="A23" s="59"/>
      <c r="B23" s="40" t="s">
        <v>245</v>
      </c>
      <c r="C23" s="40">
        <v>5</v>
      </c>
      <c r="D23" s="59"/>
      <c r="E23" s="40" t="s">
        <v>269</v>
      </c>
      <c r="F23" s="59"/>
      <c r="G23" s="59"/>
      <c r="H23" s="59"/>
      <c r="I23" s="61"/>
      <c r="J23" s="59"/>
      <c r="K23" s="59"/>
      <c r="L23" s="59"/>
      <c r="M23" s="5"/>
      <c r="O23" s="5"/>
    </row>
    <row r="24" spans="1:15" ht="12.75">
      <c r="A24" s="59"/>
      <c r="B24" s="59"/>
      <c r="C24" s="59"/>
      <c r="D24" s="59"/>
      <c r="E24" s="59"/>
      <c r="F24" s="59"/>
      <c r="G24" s="59"/>
      <c r="H24" s="61"/>
      <c r="I24" s="61"/>
      <c r="J24" s="59"/>
      <c r="K24" s="59"/>
      <c r="L24" s="59"/>
      <c r="M24" s="5"/>
      <c r="N24" s="5"/>
      <c r="O24" s="5"/>
    </row>
    <row r="25" spans="1:15" ht="13.5" thickBot="1">
      <c r="A25" s="59"/>
      <c r="B25" s="63" t="s">
        <v>90</v>
      </c>
      <c r="C25" s="63" t="s">
        <v>55</v>
      </c>
      <c r="D25" s="63" t="str">
        <f>IF(L47=4,"Gal water/ac","Desired lb N/ac")</f>
        <v>Desired lb N/ac</v>
      </c>
      <c r="E25" s="59"/>
      <c r="F25" s="63" t="s">
        <v>164</v>
      </c>
      <c r="G25" s="67" t="s">
        <v>165</v>
      </c>
      <c r="H25" s="67" t="s">
        <v>162</v>
      </c>
      <c r="I25" s="61"/>
      <c r="J25" s="59"/>
      <c r="K25" s="59"/>
      <c r="L25" s="59"/>
      <c r="M25" s="5"/>
      <c r="N25" s="5"/>
      <c r="O25" s="5"/>
    </row>
    <row r="26" spans="1:15" ht="13.5" thickBot="1">
      <c r="A26" s="59"/>
      <c r="B26" s="40" t="str">
        <f>IF(K53=TRUE,"y","n")</f>
        <v>n</v>
      </c>
      <c r="C26" s="40">
        <f>PSTable_New!N5</f>
        <v>7</v>
      </c>
      <c r="D26" s="40">
        <v>50</v>
      </c>
      <c r="E26" s="59">
        <f>IF(L47=4,IF(D47=2,IF(D26/2&lt;G31,"GPA to low",""),""),"")</f>
      </c>
      <c r="F26" s="40">
        <v>6</v>
      </c>
      <c r="G26" s="77">
        <v>30</v>
      </c>
      <c r="H26" s="173">
        <f>PSTable_New!E8</f>
        <v>2</v>
      </c>
      <c r="I26" s="61"/>
      <c r="J26" s="59"/>
      <c r="K26" s="59"/>
      <c r="L26" s="59"/>
      <c r="M26" s="5"/>
      <c r="N26" s="5"/>
      <c r="O26" s="5"/>
    </row>
    <row r="27" spans="1:15" ht="12.75">
      <c r="A27" s="59"/>
      <c r="B27" s="59"/>
      <c r="C27" s="59"/>
      <c r="D27" s="59"/>
      <c r="E27" s="59"/>
      <c r="F27" s="63" t="s">
        <v>248</v>
      </c>
      <c r="G27" s="59"/>
      <c r="H27" s="61"/>
      <c r="I27" s="61"/>
      <c r="J27" s="59"/>
      <c r="K27" s="59"/>
      <c r="L27" s="59"/>
      <c r="N27" s="5"/>
      <c r="O27" s="5"/>
    </row>
    <row r="28" spans="1:15" ht="12.75">
      <c r="A28" s="59"/>
      <c r="B28" s="59"/>
      <c r="C28" s="59"/>
      <c r="D28" s="59"/>
      <c r="E28" s="59"/>
      <c r="F28" s="63" t="s">
        <v>249</v>
      </c>
      <c r="G28" s="63" t="s">
        <v>250</v>
      </c>
      <c r="H28" s="214" t="s">
        <v>266</v>
      </c>
      <c r="I28" s="59" t="s">
        <v>10</v>
      </c>
      <c r="J28" s="223" t="str">
        <f>PSTable_New!J14</f>
        <v>All Parameters Accepted</v>
      </c>
      <c r="K28" s="224"/>
      <c r="L28" s="225"/>
      <c r="N28" s="5"/>
      <c r="O28" s="5"/>
    </row>
    <row r="29" spans="1:15" ht="12.75">
      <c r="A29" s="59"/>
      <c r="B29" s="59"/>
      <c r="C29" s="59"/>
      <c r="D29" s="59" t="s">
        <v>10</v>
      </c>
      <c r="E29" s="59"/>
      <c r="F29" s="213">
        <f>INDEX(LINEST(C35:C41,A35:A41),1)</f>
        <v>14.343308102832705</v>
      </c>
      <c r="G29" s="213">
        <f>INDEX(LINEST(C35:C41,A35:A41),2)</f>
        <v>0.16174607471509006</v>
      </c>
      <c r="H29" s="216"/>
      <c r="I29" s="59"/>
      <c r="J29" s="226"/>
      <c r="K29" s="227"/>
      <c r="L29" s="228"/>
      <c r="M29" s="5"/>
      <c r="N29" s="5"/>
      <c r="O29" s="5"/>
    </row>
    <row r="30" spans="1:15" ht="13.5" thickBot="1">
      <c r="A30" s="59"/>
      <c r="B30" s="63" t="s">
        <v>61</v>
      </c>
      <c r="C30" s="59"/>
      <c r="D30" s="63" t="s">
        <v>91</v>
      </c>
      <c r="E30" s="59"/>
      <c r="F30" s="63" t="s">
        <v>66</v>
      </c>
      <c r="G30" s="63" t="s">
        <v>67</v>
      </c>
      <c r="H30" s="63" t="s">
        <v>68</v>
      </c>
      <c r="I30" s="59"/>
      <c r="J30" s="229"/>
      <c r="K30" s="230"/>
      <c r="L30" s="231"/>
      <c r="M30" s="5"/>
      <c r="N30" s="5"/>
      <c r="O30" s="5"/>
    </row>
    <row r="31" spans="1:15" s="4" customFormat="1" ht="13.5" thickBot="1">
      <c r="A31" s="59"/>
      <c r="B31" s="59"/>
      <c r="C31" s="59"/>
      <c r="D31" s="49">
        <v>24</v>
      </c>
      <c r="E31" s="59"/>
      <c r="F31" s="63"/>
      <c r="G31" s="59"/>
      <c r="H31" s="59"/>
      <c r="I31" s="59"/>
      <c r="J31" s="59"/>
      <c r="K31" s="59"/>
      <c r="L31" s="59"/>
      <c r="M31" s="5"/>
      <c r="N31" s="5"/>
      <c r="O31" s="5"/>
    </row>
    <row r="32" spans="1:15" ht="12.75">
      <c r="A32" s="59"/>
      <c r="B32" s="59"/>
      <c r="C32" s="59"/>
      <c r="D32" s="59"/>
      <c r="E32" s="59"/>
      <c r="F32" s="63"/>
      <c r="G32" s="59"/>
      <c r="H32" s="59"/>
      <c r="I32" s="61"/>
      <c r="J32" s="59"/>
      <c r="K32" s="59"/>
      <c r="L32" s="59"/>
      <c r="N32" s="5"/>
      <c r="O32" s="5"/>
    </row>
    <row r="33" spans="1:15" ht="12.75">
      <c r="A33" s="140"/>
      <c r="B33" s="141"/>
      <c r="C33" s="141"/>
      <c r="D33" s="140"/>
      <c r="E33" s="141"/>
      <c r="F33" s="141"/>
      <c r="G33" s="141"/>
      <c r="H33" s="142"/>
      <c r="I33" s="142"/>
      <c r="J33" s="141"/>
      <c r="K33" s="141"/>
      <c r="L33" s="141"/>
      <c r="N33" s="5"/>
      <c r="O33" s="5"/>
    </row>
    <row r="34" spans="1:15" ht="15.75">
      <c r="A34" s="143" t="s">
        <v>56</v>
      </c>
      <c r="B34" s="144"/>
      <c r="C34" s="145" t="s">
        <v>57</v>
      </c>
      <c r="D34" s="141"/>
      <c r="E34" s="141"/>
      <c r="F34" s="141"/>
      <c r="G34" s="141"/>
      <c r="H34" s="142"/>
      <c r="I34" s="142"/>
      <c r="J34" s="141"/>
      <c r="K34" s="141"/>
      <c r="L34" s="141"/>
      <c r="M34" s="5"/>
      <c r="N34" s="5"/>
      <c r="O34" s="5"/>
    </row>
    <row r="35" spans="1:15" ht="15.75">
      <c r="A35" s="146">
        <v>1</v>
      </c>
      <c r="B35" s="147"/>
      <c r="C35" s="148">
        <f>vs1</f>
        <v>14.575369347832464</v>
      </c>
      <c r="D35" s="141"/>
      <c r="E35" s="141"/>
      <c r="F35" s="141"/>
      <c r="G35" s="141"/>
      <c r="H35" s="142"/>
      <c r="I35" s="142"/>
      <c r="J35" s="141"/>
      <c r="K35" s="141"/>
      <c r="L35" s="141"/>
      <c r="M35" s="5"/>
      <c r="N35" s="5"/>
      <c r="O35" s="5"/>
    </row>
    <row r="36" spans="1:15" ht="16.5" thickBot="1">
      <c r="A36" s="146">
        <v>2</v>
      </c>
      <c r="B36" s="147"/>
      <c r="C36" s="148">
        <f>vs2</f>
        <v>28.763107784292856</v>
      </c>
      <c r="D36" s="141"/>
      <c r="E36" s="141"/>
      <c r="F36" s="141"/>
      <c r="G36" s="79"/>
      <c r="H36" s="221"/>
      <c r="I36" s="222"/>
      <c r="J36" s="222"/>
      <c r="K36" s="149"/>
      <c r="L36" s="79"/>
      <c r="M36" s="5"/>
      <c r="N36" s="5"/>
      <c r="O36" s="5"/>
    </row>
    <row r="37" spans="1:15" ht="15.75">
      <c r="A37" s="150">
        <v>3</v>
      </c>
      <c r="B37" s="151"/>
      <c r="C37" s="148">
        <f>vs3</f>
        <v>43.3384771321253</v>
      </c>
      <c r="D37" s="152"/>
      <c r="E37" s="152"/>
      <c r="F37" s="152"/>
      <c r="G37" s="153"/>
      <c r="H37" s="152"/>
      <c r="I37" s="154"/>
      <c r="J37" s="154"/>
      <c r="K37" s="154"/>
      <c r="L37" s="79"/>
      <c r="M37" s="5"/>
      <c r="N37" s="5"/>
      <c r="O37" s="5"/>
    </row>
    <row r="38" spans="1:14" ht="15.75">
      <c r="A38" s="155">
        <v>4</v>
      </c>
      <c r="B38" s="156"/>
      <c r="C38" s="148">
        <f>vs4</f>
        <v>57.34773521845503</v>
      </c>
      <c r="D38" s="157"/>
      <c r="E38" s="157"/>
      <c r="F38" s="158"/>
      <c r="G38" s="157"/>
      <c r="H38" s="157"/>
      <c r="I38" s="157"/>
      <c r="J38" s="157"/>
      <c r="K38" s="157"/>
      <c r="L38" s="157"/>
      <c r="M38" s="6"/>
      <c r="N38" s="5"/>
    </row>
    <row r="39" spans="1:14" ht="15.75">
      <c r="A39" s="159">
        <v>5</v>
      </c>
      <c r="B39" s="144"/>
      <c r="C39" s="148">
        <f>vs5</f>
        <v>71.9231045662875</v>
      </c>
      <c r="D39" s="79"/>
      <c r="E39" s="79"/>
      <c r="F39" s="79"/>
      <c r="G39" s="79"/>
      <c r="H39" s="79"/>
      <c r="I39" s="79"/>
      <c r="J39" s="79"/>
      <c r="K39" s="160"/>
      <c r="L39" s="160"/>
      <c r="M39" s="8"/>
      <c r="N39" s="5"/>
    </row>
    <row r="40" spans="1:14" ht="15.75">
      <c r="A40" s="159">
        <v>6</v>
      </c>
      <c r="B40" s="144"/>
      <c r="C40" s="148">
        <f>vs6</f>
        <v>86.11084300274787</v>
      </c>
      <c r="D40" s="79"/>
      <c r="E40" s="79"/>
      <c r="F40" s="79"/>
      <c r="G40" s="79"/>
      <c r="H40" s="79"/>
      <c r="I40" s="79"/>
      <c r="J40" s="79"/>
      <c r="K40" s="160"/>
      <c r="L40" s="160"/>
      <c r="M40" s="7"/>
      <c r="N40" s="5"/>
    </row>
    <row r="41" spans="1:14" ht="15.75">
      <c r="A41" s="159">
        <v>7</v>
      </c>
      <c r="B41" s="144"/>
      <c r="C41" s="148">
        <f>vs7</f>
        <v>100.68621235058032</v>
      </c>
      <c r="D41" s="79"/>
      <c r="E41" s="79"/>
      <c r="F41" s="79"/>
      <c r="G41" s="79"/>
      <c r="H41" s="79"/>
      <c r="I41" s="79"/>
      <c r="J41" s="79"/>
      <c r="K41" s="160"/>
      <c r="L41" s="160"/>
      <c r="M41" s="7"/>
      <c r="N41" s="5"/>
    </row>
    <row r="42" spans="1:14" ht="12.7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160"/>
      <c r="L42" s="160"/>
      <c r="M42" s="7"/>
      <c r="N42" s="5"/>
    </row>
    <row r="43" spans="1:14" ht="12.7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160"/>
      <c r="L43" s="160"/>
      <c r="M43" s="7"/>
      <c r="N43" s="5"/>
    </row>
    <row r="44" spans="1:14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61"/>
      <c r="L44" s="161"/>
      <c r="M44" s="7"/>
      <c r="N44" s="5"/>
    </row>
    <row r="45" spans="1:13" ht="12.75">
      <c r="A45" s="121" t="s">
        <v>74</v>
      </c>
      <c r="B45" s="121"/>
      <c r="C45" s="121"/>
      <c r="D45" s="121"/>
      <c r="E45" s="121"/>
      <c r="F45" s="121"/>
      <c r="G45" s="121"/>
      <c r="H45" s="121"/>
      <c r="I45" s="121" t="s">
        <v>81</v>
      </c>
      <c r="J45" s="121"/>
      <c r="K45" s="161"/>
      <c r="L45" s="161"/>
      <c r="M45" s="7"/>
    </row>
    <row r="46" spans="1:13" ht="12.75">
      <c r="A46" s="122" t="s">
        <v>33</v>
      </c>
      <c r="B46" s="122" t="s">
        <v>45</v>
      </c>
      <c r="C46" s="122" t="s">
        <v>44</v>
      </c>
      <c r="D46" s="122" t="s">
        <v>46</v>
      </c>
      <c r="E46" s="121"/>
      <c r="F46" s="121"/>
      <c r="G46" s="121"/>
      <c r="H46" s="121"/>
      <c r="I46" s="121" t="s">
        <v>33</v>
      </c>
      <c r="J46" s="121"/>
      <c r="K46" s="161"/>
      <c r="L46" s="161"/>
      <c r="M46" s="7"/>
    </row>
    <row r="47" spans="1:12" ht="12.75">
      <c r="A47" s="121">
        <v>1</v>
      </c>
      <c r="B47" s="31">
        <v>0.701</v>
      </c>
      <c r="C47" s="31" t="str">
        <f>IF($L$47=3,"Dryland","YP0+1STD")</f>
        <v>YP0+1STD</v>
      </c>
      <c r="D47" s="121">
        <v>1</v>
      </c>
      <c r="E47" s="121"/>
      <c r="F47" s="121">
        <v>154.91</v>
      </c>
      <c r="G47" s="121">
        <v>0.0245</v>
      </c>
      <c r="H47" s="162">
        <v>60</v>
      </c>
      <c r="I47" s="121">
        <v>1</v>
      </c>
      <c r="J47" s="121" t="s">
        <v>84</v>
      </c>
      <c r="K47" s="121"/>
      <c r="L47" s="163">
        <v>1</v>
      </c>
    </row>
    <row r="48" spans="1:12" ht="12.75">
      <c r="A48" s="121"/>
      <c r="B48" s="121">
        <v>0.701</v>
      </c>
      <c r="C48" s="121" t="str">
        <f>IF($L$47=3,"Irrigated","YP0+1STD")</f>
        <v>YP0+1STD</v>
      </c>
      <c r="D48" s="121"/>
      <c r="E48" s="121"/>
      <c r="F48" s="121"/>
      <c r="G48" s="121"/>
      <c r="H48" s="162"/>
      <c r="I48" s="121">
        <v>2</v>
      </c>
      <c r="J48" s="121" t="s">
        <v>82</v>
      </c>
      <c r="K48" s="121"/>
      <c r="L48" s="163"/>
    </row>
    <row r="49" spans="1:12" ht="12.75">
      <c r="A49" s="121"/>
      <c r="B49" s="121"/>
      <c r="C49" s="121"/>
      <c r="D49" s="121"/>
      <c r="E49" s="121"/>
      <c r="F49" s="121"/>
      <c r="G49" s="121"/>
      <c r="H49" s="162"/>
      <c r="I49" s="121">
        <v>3</v>
      </c>
      <c r="J49" s="121" t="s">
        <v>83</v>
      </c>
      <c r="K49" s="121"/>
      <c r="L49" s="163"/>
    </row>
    <row r="50" spans="1:12" ht="12.75">
      <c r="A50" s="121" t="s">
        <v>75</v>
      </c>
      <c r="B50" s="121"/>
      <c r="C50" s="121"/>
      <c r="D50" s="121"/>
      <c r="E50" s="121"/>
      <c r="F50" s="121"/>
      <c r="G50" s="163"/>
      <c r="H50" s="162"/>
      <c r="I50" s="121"/>
      <c r="J50" s="121"/>
      <c r="K50" s="121"/>
      <c r="L50" s="163"/>
    </row>
    <row r="51" spans="1:12" ht="12.75">
      <c r="A51" s="121" t="s">
        <v>33</v>
      </c>
      <c r="B51" s="121" t="s">
        <v>76</v>
      </c>
      <c r="C51" s="121" t="s">
        <v>44</v>
      </c>
      <c r="D51" s="121" t="s">
        <v>46</v>
      </c>
      <c r="E51" s="121"/>
      <c r="F51" s="121"/>
      <c r="G51" s="163"/>
      <c r="H51" s="162"/>
      <c r="I51" s="121"/>
      <c r="J51" s="121"/>
      <c r="K51" s="121"/>
      <c r="L51" s="163"/>
    </row>
    <row r="52" spans="1:13" ht="12.75">
      <c r="A52" s="121">
        <v>1</v>
      </c>
      <c r="B52" s="121">
        <v>0.532</v>
      </c>
      <c r="C52" s="121" t="s">
        <v>51</v>
      </c>
      <c r="D52" s="121">
        <f>D47</f>
        <v>1</v>
      </c>
      <c r="E52" s="121"/>
      <c r="F52" s="121">
        <v>270.1</v>
      </c>
      <c r="G52" s="162">
        <v>0.0239</v>
      </c>
      <c r="H52" s="162">
        <v>60</v>
      </c>
      <c r="I52" s="121"/>
      <c r="J52" s="121"/>
      <c r="K52" s="121"/>
      <c r="L52" s="121"/>
      <c r="M52" s="9"/>
    </row>
    <row r="53" spans="1:12" ht="12.75">
      <c r="A53" s="121"/>
      <c r="B53" s="121">
        <v>0.532</v>
      </c>
      <c r="C53" s="121" t="s">
        <v>51</v>
      </c>
      <c r="D53" s="121"/>
      <c r="E53" s="121" t="s">
        <v>246</v>
      </c>
      <c r="F53" s="121"/>
      <c r="G53" s="163"/>
      <c r="H53" s="162"/>
      <c r="I53" s="121"/>
      <c r="J53" s="121"/>
      <c r="K53" s="121" t="b">
        <v>0</v>
      </c>
      <c r="L53" s="121"/>
    </row>
    <row r="54" spans="1:12" ht="12.75">
      <c r="A54" s="121"/>
      <c r="B54" s="121"/>
      <c r="C54" s="121"/>
      <c r="D54" s="121"/>
      <c r="E54" s="121" t="s">
        <v>247</v>
      </c>
      <c r="F54" s="121"/>
      <c r="G54" s="163"/>
      <c r="H54" s="162"/>
      <c r="I54" s="121"/>
      <c r="J54" s="121"/>
      <c r="K54" s="121"/>
      <c r="L54" s="121"/>
    </row>
    <row r="55" spans="1:12" ht="12.75">
      <c r="A55" s="121" t="s">
        <v>77</v>
      </c>
      <c r="B55" s="121"/>
      <c r="C55" s="121"/>
      <c r="D55" s="121"/>
      <c r="E55" s="121" t="s">
        <v>274</v>
      </c>
      <c r="F55" s="121"/>
      <c r="G55" s="163"/>
      <c r="H55" s="162"/>
      <c r="I55" s="121"/>
      <c r="J55" s="121"/>
      <c r="K55" s="121"/>
      <c r="L55" s="121"/>
    </row>
    <row r="56" spans="1:12" ht="12.75">
      <c r="A56" s="121" t="s">
        <v>33</v>
      </c>
      <c r="B56" s="121" t="s">
        <v>45</v>
      </c>
      <c r="C56" s="121" t="s">
        <v>44</v>
      </c>
      <c r="D56" s="121" t="s">
        <v>46</v>
      </c>
      <c r="E56" s="121"/>
      <c r="F56" s="121"/>
      <c r="G56" s="163"/>
      <c r="H56" s="162"/>
      <c r="I56" s="121"/>
      <c r="J56" s="121"/>
      <c r="K56" s="121"/>
      <c r="L56" s="121"/>
    </row>
    <row r="57" spans="1:12" ht="12.75">
      <c r="A57" s="121">
        <v>1</v>
      </c>
      <c r="B57" s="121">
        <v>1.633</v>
      </c>
      <c r="C57" s="121" t="s">
        <v>79</v>
      </c>
      <c r="D57" s="121">
        <f>D47</f>
        <v>1</v>
      </c>
      <c r="E57" s="121"/>
      <c r="F57" s="121">
        <v>132.46</v>
      </c>
      <c r="G57" s="162">
        <v>0.0125</v>
      </c>
      <c r="H57" s="162">
        <v>56</v>
      </c>
      <c r="I57" s="121"/>
      <c r="J57" s="121"/>
      <c r="K57" s="121"/>
      <c r="L57" s="121"/>
    </row>
    <row r="58" spans="1:12" ht="12.75">
      <c r="A58" s="121">
        <v>2</v>
      </c>
      <c r="B58" s="121">
        <v>2.3329</v>
      </c>
      <c r="C58" s="121" t="s">
        <v>78</v>
      </c>
      <c r="D58" s="121"/>
      <c r="E58" s="121"/>
      <c r="F58" s="121"/>
      <c r="G58" s="121"/>
      <c r="H58" s="163"/>
      <c r="I58" s="121"/>
      <c r="J58" s="121"/>
      <c r="K58" s="121"/>
      <c r="L58" s="121"/>
    </row>
    <row r="59" spans="1:12" ht="12.75">
      <c r="A59" s="121"/>
      <c r="B59" s="121"/>
      <c r="C59" s="121"/>
      <c r="D59" s="121"/>
      <c r="E59" s="121"/>
      <c r="F59" s="121"/>
      <c r="G59" s="121"/>
      <c r="H59" s="163"/>
      <c r="I59" s="121"/>
      <c r="J59" s="121"/>
      <c r="K59" s="121"/>
      <c r="L59" s="121"/>
    </row>
    <row r="60" spans="1:12" ht="12.75">
      <c r="A60" s="121" t="s">
        <v>43</v>
      </c>
      <c r="B60" s="121"/>
      <c r="C60" s="121"/>
      <c r="D60" s="121"/>
      <c r="E60" s="121"/>
      <c r="F60" s="121"/>
      <c r="G60" s="121"/>
      <c r="H60" s="121"/>
      <c r="I60" s="163"/>
      <c r="J60" s="121"/>
      <c r="K60" s="121"/>
      <c r="L60" s="121"/>
    </row>
    <row r="61" spans="1:12" ht="12.75">
      <c r="A61" s="122" t="s">
        <v>33</v>
      </c>
      <c r="B61" s="122" t="s">
        <v>47</v>
      </c>
      <c r="C61" s="122" t="s">
        <v>46</v>
      </c>
      <c r="D61" s="122"/>
      <c r="E61" s="121"/>
      <c r="F61" s="121"/>
      <c r="G61" s="121"/>
      <c r="H61" s="121"/>
      <c r="I61" s="163"/>
      <c r="J61" s="121"/>
      <c r="K61" s="121"/>
      <c r="L61" s="121"/>
    </row>
    <row r="62" spans="1:12" ht="12.75">
      <c r="A62" s="121">
        <v>1</v>
      </c>
      <c r="B62" s="163" t="s">
        <v>58</v>
      </c>
      <c r="C62" s="163">
        <v>4</v>
      </c>
      <c r="D62" s="121" t="s">
        <v>59</v>
      </c>
      <c r="E62" s="121"/>
      <c r="F62" s="121"/>
      <c r="G62" s="121"/>
      <c r="H62" s="121"/>
      <c r="I62" s="163"/>
      <c r="J62" s="121"/>
      <c r="K62" s="121"/>
      <c r="L62" s="121"/>
    </row>
    <row r="63" spans="1:12" ht="12.75">
      <c r="A63" s="121">
        <v>2</v>
      </c>
      <c r="B63" s="163" t="s">
        <v>0</v>
      </c>
      <c r="C63" s="163"/>
      <c r="D63" s="121" t="s">
        <v>60</v>
      </c>
      <c r="E63" s="121"/>
      <c r="F63" s="121"/>
      <c r="G63" s="121"/>
      <c r="H63" s="121"/>
      <c r="I63" s="163"/>
      <c r="J63" s="121"/>
      <c r="K63" s="121"/>
      <c r="L63" s="121"/>
    </row>
    <row r="64" spans="1:12" ht="12.75">
      <c r="A64" s="121">
        <v>3</v>
      </c>
      <c r="B64" s="121" t="s">
        <v>176</v>
      </c>
      <c r="C64" s="121"/>
      <c r="D64" s="121" t="s">
        <v>175</v>
      </c>
      <c r="E64" s="121"/>
      <c r="F64" s="121"/>
      <c r="G64" s="121"/>
      <c r="H64" s="121"/>
      <c r="I64" s="163"/>
      <c r="J64" s="121"/>
      <c r="K64" s="121"/>
      <c r="L64" s="121"/>
    </row>
    <row r="65" spans="1:12" ht="12.75">
      <c r="A65" s="121">
        <v>4</v>
      </c>
      <c r="B65" s="121" t="s">
        <v>227</v>
      </c>
      <c r="C65" s="121"/>
      <c r="D65" s="121" t="s">
        <v>228</v>
      </c>
      <c r="E65" s="121"/>
      <c r="F65" s="121"/>
      <c r="G65" s="121"/>
      <c r="H65" s="121"/>
      <c r="I65" s="163"/>
      <c r="J65" s="121"/>
      <c r="K65" s="121"/>
      <c r="L65" s="121"/>
    </row>
    <row r="66" spans="1:12" ht="12.75">
      <c r="A66" s="121">
        <v>5</v>
      </c>
      <c r="B66" s="121" t="s">
        <v>259</v>
      </c>
      <c r="C66" s="121"/>
      <c r="D66" s="121" t="s">
        <v>260</v>
      </c>
      <c r="E66" s="121"/>
      <c r="F66" s="121"/>
      <c r="G66" s="121"/>
      <c r="H66" s="121"/>
      <c r="I66" s="163"/>
      <c r="J66" s="121"/>
      <c r="K66" s="121"/>
      <c r="L66" s="121"/>
    </row>
    <row r="67" spans="1:15" ht="12.75">
      <c r="A67" s="121" t="s">
        <v>62</v>
      </c>
      <c r="B67" s="121" t="s">
        <v>69</v>
      </c>
      <c r="C67" s="121" t="s">
        <v>70</v>
      </c>
      <c r="D67" s="121" t="s">
        <v>85</v>
      </c>
      <c r="E67" s="121" t="s">
        <v>61</v>
      </c>
      <c r="F67" s="121" t="s">
        <v>73</v>
      </c>
      <c r="G67" s="121" t="s">
        <v>63</v>
      </c>
      <c r="H67" s="121" t="s">
        <v>64</v>
      </c>
      <c r="I67" s="121"/>
      <c r="J67" s="121"/>
      <c r="K67" s="121"/>
      <c r="L67" s="121"/>
      <c r="N67"/>
      <c r="O67"/>
    </row>
    <row r="68" spans="1:15" ht="12.75">
      <c r="A68" s="121">
        <v>1</v>
      </c>
      <c r="B68" s="121">
        <v>1.13</v>
      </c>
      <c r="C68" s="121">
        <v>28</v>
      </c>
      <c r="D68" s="121">
        <v>1</v>
      </c>
      <c r="E68" s="121">
        <v>1</v>
      </c>
      <c r="F68" s="121">
        <v>2.99</v>
      </c>
      <c r="G68" s="121">
        <v>1.28</v>
      </c>
      <c r="H68" s="164">
        <f>G68*3785/454</f>
        <v>10.67136563876652</v>
      </c>
      <c r="I68" s="121"/>
      <c r="J68" s="121"/>
      <c r="K68" s="121"/>
      <c r="L68" s="121"/>
      <c r="N68"/>
      <c r="O68"/>
    </row>
    <row r="69" spans="1:15" ht="12.75">
      <c r="A69" s="121">
        <v>2</v>
      </c>
      <c r="B69" s="121">
        <v>1.15</v>
      </c>
      <c r="C69" s="121">
        <v>32</v>
      </c>
      <c r="D69" s="121"/>
      <c r="E69" s="121">
        <v>2</v>
      </c>
      <c r="F69" s="162">
        <v>3.55</v>
      </c>
      <c r="G69" s="121">
        <v>1.33</v>
      </c>
      <c r="H69" s="164">
        <f>G69*3785/454</f>
        <v>11.088215859030838</v>
      </c>
      <c r="I69" s="121"/>
      <c r="J69" s="121"/>
      <c r="K69" s="121"/>
      <c r="L69" s="121"/>
      <c r="N69"/>
      <c r="O69"/>
    </row>
    <row r="70" spans="1:15" ht="12.75">
      <c r="A70" s="121">
        <v>3</v>
      </c>
      <c r="B70" s="121">
        <v>1.08</v>
      </c>
      <c r="C70" s="121">
        <v>24</v>
      </c>
      <c r="D70" s="121"/>
      <c r="E70" s="121">
        <v>3</v>
      </c>
      <c r="F70" s="121">
        <v>2.32</v>
      </c>
      <c r="G70" s="121">
        <v>1.16</v>
      </c>
      <c r="H70" s="164">
        <f>G70*3785/454</f>
        <v>9.670925110132158</v>
      </c>
      <c r="I70" s="121"/>
      <c r="J70" s="121"/>
      <c r="K70" s="121"/>
      <c r="L70" s="121"/>
      <c r="N70"/>
      <c r="O70"/>
    </row>
    <row r="71" spans="1:12" ht="12.75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</row>
    <row r="72" spans="1:12" ht="12.75">
      <c r="A72" s="121" t="s">
        <v>61</v>
      </c>
      <c r="B72" s="121" t="s">
        <v>95</v>
      </c>
      <c r="C72" s="121"/>
      <c r="D72" s="121" t="s">
        <v>33</v>
      </c>
      <c r="E72" s="121"/>
      <c r="F72" s="121"/>
      <c r="G72" s="121"/>
      <c r="H72" s="121"/>
      <c r="I72" s="121"/>
      <c r="J72" s="121"/>
      <c r="K72" s="121"/>
      <c r="L72" s="121"/>
    </row>
    <row r="73" spans="1:12" ht="12.75">
      <c r="A73" s="121">
        <v>1</v>
      </c>
      <c r="B73" s="121">
        <v>28</v>
      </c>
      <c r="C73" s="121"/>
      <c r="D73" s="121">
        <v>1</v>
      </c>
      <c r="E73" s="121">
        <v>10.67</v>
      </c>
      <c r="F73" s="121"/>
      <c r="G73" s="121"/>
      <c r="H73" s="121"/>
      <c r="I73" s="121"/>
      <c r="J73" s="121"/>
      <c r="K73" s="121"/>
      <c r="L73" s="121"/>
    </row>
    <row r="74" spans="1:12" ht="12.75">
      <c r="A74" s="121">
        <v>2</v>
      </c>
      <c r="B74" s="121">
        <v>32</v>
      </c>
      <c r="C74" s="121"/>
      <c r="D74" s="121">
        <v>2</v>
      </c>
      <c r="E74" s="121">
        <v>11.09</v>
      </c>
      <c r="F74" s="121"/>
      <c r="G74" s="121"/>
      <c r="H74" s="121"/>
      <c r="I74" s="121"/>
      <c r="J74" s="121"/>
      <c r="K74" s="121"/>
      <c r="L74" s="121"/>
    </row>
    <row r="75" spans="1:12" ht="12.75">
      <c r="A75" s="121">
        <v>3</v>
      </c>
      <c r="B75" s="121">
        <v>24</v>
      </c>
      <c r="C75" s="121"/>
      <c r="D75" s="121">
        <v>3</v>
      </c>
      <c r="E75" s="121">
        <v>9.67</v>
      </c>
      <c r="F75" s="121"/>
      <c r="G75" s="121"/>
      <c r="H75" s="121"/>
      <c r="I75" s="121"/>
      <c r="J75" s="121"/>
      <c r="K75" s="121"/>
      <c r="L75" s="121"/>
    </row>
    <row r="76" spans="1:12" ht="12.75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</row>
    <row r="77" spans="1:12" ht="12.7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</row>
    <row r="78" spans="1:12" ht="12.75">
      <c r="A78" s="121" t="s">
        <v>158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</row>
    <row r="79" spans="1:12" ht="12.75">
      <c r="A79" s="121" t="s">
        <v>66</v>
      </c>
      <c r="B79" s="121"/>
      <c r="C79" s="121"/>
      <c r="D79" s="121" t="s">
        <v>67</v>
      </c>
      <c r="E79" s="121"/>
      <c r="F79" s="121"/>
      <c r="G79" s="121" t="s">
        <v>68</v>
      </c>
      <c r="H79" s="121"/>
      <c r="I79" s="121"/>
      <c r="J79" s="121"/>
      <c r="K79" s="121"/>
      <c r="L79" s="121"/>
    </row>
    <row r="80" spans="1:12" ht="12.75">
      <c r="A80" s="121" t="s">
        <v>33</v>
      </c>
      <c r="B80" s="121" t="s">
        <v>236</v>
      </c>
      <c r="C80" s="121" t="s">
        <v>46</v>
      </c>
      <c r="D80" s="121" t="s">
        <v>33</v>
      </c>
      <c r="E80" s="121" t="s">
        <v>236</v>
      </c>
      <c r="F80" s="121" t="s">
        <v>46</v>
      </c>
      <c r="G80" s="121" t="s">
        <v>33</v>
      </c>
      <c r="H80" s="121" t="s">
        <v>236</v>
      </c>
      <c r="I80" s="121" t="s">
        <v>46</v>
      </c>
      <c r="J80" s="121"/>
      <c r="K80" s="121"/>
      <c r="L80" s="121"/>
    </row>
    <row r="81" spans="1:12" ht="12.75">
      <c r="A81" s="121">
        <v>1</v>
      </c>
      <c r="B81" s="121" t="s">
        <v>271</v>
      </c>
      <c r="C81" s="121">
        <v>1</v>
      </c>
      <c r="D81" s="121">
        <v>1</v>
      </c>
      <c r="E81" s="121" t="s">
        <v>271</v>
      </c>
      <c r="F81" s="121">
        <v>2</v>
      </c>
      <c r="G81" s="121">
        <v>1</v>
      </c>
      <c r="H81" s="121" t="s">
        <v>271</v>
      </c>
      <c r="I81" s="121">
        <v>3</v>
      </c>
      <c r="J81" s="121"/>
      <c r="K81" s="121"/>
      <c r="L81" s="121"/>
    </row>
    <row r="82" spans="1:12" ht="12.75">
      <c r="A82" s="121">
        <v>2</v>
      </c>
      <c r="B82" s="121" t="s">
        <v>272</v>
      </c>
      <c r="C82" s="121"/>
      <c r="D82" s="121">
        <v>2</v>
      </c>
      <c r="E82" s="121" t="s">
        <v>272</v>
      </c>
      <c r="F82" s="121"/>
      <c r="G82" s="121">
        <v>2</v>
      </c>
      <c r="H82" s="121" t="s">
        <v>272</v>
      </c>
      <c r="I82" s="121"/>
      <c r="J82" s="121"/>
      <c r="K82" s="121"/>
      <c r="L82" s="121"/>
    </row>
    <row r="83" spans="1:12" ht="12.75">
      <c r="A83" s="121">
        <v>3</v>
      </c>
      <c r="B83" s="121" t="s">
        <v>273</v>
      </c>
      <c r="C83" s="121"/>
      <c r="D83" s="121">
        <v>3</v>
      </c>
      <c r="E83" s="121" t="s">
        <v>273</v>
      </c>
      <c r="F83" s="121"/>
      <c r="G83" s="121">
        <v>3</v>
      </c>
      <c r="H83" s="121" t="s">
        <v>273</v>
      </c>
      <c r="I83" s="121"/>
      <c r="J83" s="121"/>
      <c r="K83" s="121"/>
      <c r="L83" s="121"/>
    </row>
    <row r="84" spans="1:12" ht="12.75">
      <c r="A84" s="121">
        <v>4</v>
      </c>
      <c r="B84" s="121" t="s">
        <v>231</v>
      </c>
      <c r="C84" s="121"/>
      <c r="D84" s="121">
        <v>4</v>
      </c>
      <c r="E84" s="121" t="s">
        <v>231</v>
      </c>
      <c r="F84" s="121"/>
      <c r="G84" s="121">
        <v>4</v>
      </c>
      <c r="H84" s="121" t="s">
        <v>231</v>
      </c>
      <c r="I84" s="121"/>
      <c r="J84" s="121"/>
      <c r="K84" s="121"/>
      <c r="L84" s="121"/>
    </row>
    <row r="85" spans="1:12" ht="12.75">
      <c r="A85" s="121">
        <v>5</v>
      </c>
      <c r="B85" s="121" t="s">
        <v>234</v>
      </c>
      <c r="C85" s="121"/>
      <c r="D85" s="121">
        <v>5</v>
      </c>
      <c r="E85" s="121" t="s">
        <v>234</v>
      </c>
      <c r="F85" s="121"/>
      <c r="G85" s="121">
        <v>5</v>
      </c>
      <c r="H85" s="121" t="s">
        <v>234</v>
      </c>
      <c r="I85" s="121"/>
      <c r="J85" s="121"/>
      <c r="K85" s="121"/>
      <c r="L85" s="121"/>
    </row>
    <row r="86" spans="1:12" ht="12.75">
      <c r="A86" s="121">
        <v>6</v>
      </c>
      <c r="B86" s="121" t="s">
        <v>233</v>
      </c>
      <c r="C86" s="121"/>
      <c r="D86" s="121">
        <v>6</v>
      </c>
      <c r="E86" s="121" t="s">
        <v>233</v>
      </c>
      <c r="F86" s="121"/>
      <c r="G86" s="121">
        <v>6</v>
      </c>
      <c r="H86" s="121" t="s">
        <v>233</v>
      </c>
      <c r="I86" s="121"/>
      <c r="J86" s="121"/>
      <c r="K86" s="121"/>
      <c r="L86" s="121"/>
    </row>
    <row r="87" spans="1:12" ht="12.75">
      <c r="A87" s="121">
        <v>7</v>
      </c>
      <c r="B87" s="121" t="s">
        <v>232</v>
      </c>
      <c r="C87" s="121"/>
      <c r="D87" s="121">
        <v>7</v>
      </c>
      <c r="E87" s="121" t="s">
        <v>232</v>
      </c>
      <c r="F87" s="121"/>
      <c r="G87" s="121">
        <v>7</v>
      </c>
      <c r="H87" s="121" t="s">
        <v>232</v>
      </c>
      <c r="I87" s="121"/>
      <c r="J87" s="121"/>
      <c r="K87" s="121"/>
      <c r="L87" s="121"/>
    </row>
    <row r="88" spans="1:12" ht="12.75">
      <c r="A88" s="121">
        <v>8</v>
      </c>
      <c r="B88" s="121" t="s">
        <v>237</v>
      </c>
      <c r="C88" s="121"/>
      <c r="D88" s="121">
        <v>8</v>
      </c>
      <c r="E88" s="121" t="s">
        <v>237</v>
      </c>
      <c r="F88" s="121"/>
      <c r="G88" s="121">
        <v>8</v>
      </c>
      <c r="H88" s="121" t="s">
        <v>237</v>
      </c>
      <c r="I88" s="121"/>
      <c r="J88" s="121"/>
      <c r="K88" s="121"/>
      <c r="L88" s="121"/>
    </row>
    <row r="89" spans="1:12" ht="12.75">
      <c r="A89" s="121">
        <v>9</v>
      </c>
      <c r="B89" s="121" t="s">
        <v>239</v>
      </c>
      <c r="C89" s="121"/>
      <c r="D89" s="121">
        <v>9</v>
      </c>
      <c r="E89" s="121" t="s">
        <v>239</v>
      </c>
      <c r="F89" s="121"/>
      <c r="G89" s="121">
        <v>9</v>
      </c>
      <c r="H89" s="121" t="s">
        <v>239</v>
      </c>
      <c r="I89" s="121"/>
      <c r="J89" s="121"/>
      <c r="K89" s="121"/>
      <c r="L89" s="121"/>
    </row>
    <row r="90" spans="1:12" ht="12.75">
      <c r="A90" s="121">
        <v>10</v>
      </c>
      <c r="B90" s="121" t="s">
        <v>240</v>
      </c>
      <c r="C90" s="121"/>
      <c r="D90" s="121">
        <v>10</v>
      </c>
      <c r="E90" s="121" t="s">
        <v>240</v>
      </c>
      <c r="F90" s="121"/>
      <c r="G90" s="121">
        <v>10</v>
      </c>
      <c r="H90" s="121" t="s">
        <v>240</v>
      </c>
      <c r="I90" s="121"/>
      <c r="J90" s="121"/>
      <c r="K90" s="121"/>
      <c r="L90" s="121"/>
    </row>
    <row r="91" spans="1:12" ht="12.75">
      <c r="A91" s="121">
        <v>11</v>
      </c>
      <c r="B91" s="121" t="s">
        <v>270</v>
      </c>
      <c r="C91" s="121"/>
      <c r="D91" s="121">
        <v>11</v>
      </c>
      <c r="E91" s="121" t="s">
        <v>270</v>
      </c>
      <c r="F91" s="121"/>
      <c r="G91" s="121">
        <v>11</v>
      </c>
      <c r="H91" s="121" t="s">
        <v>270</v>
      </c>
      <c r="I91" s="121"/>
      <c r="J91" s="121"/>
      <c r="K91" s="121"/>
      <c r="L91" s="121"/>
    </row>
    <row r="92" spans="1:12" ht="12.75">
      <c r="A92" s="121">
        <v>12</v>
      </c>
      <c r="B92" s="121" t="s">
        <v>187</v>
      </c>
      <c r="C92" s="121"/>
      <c r="D92" s="121">
        <v>12</v>
      </c>
      <c r="E92" s="121" t="s">
        <v>187</v>
      </c>
      <c r="F92" s="121"/>
      <c r="G92" s="121">
        <v>12</v>
      </c>
      <c r="H92" s="121" t="s">
        <v>187</v>
      </c>
      <c r="I92" s="121"/>
      <c r="J92" s="121"/>
      <c r="K92" s="121"/>
      <c r="L92" s="121"/>
    </row>
    <row r="93" spans="1:12" ht="12.75">
      <c r="A93" s="121">
        <v>13</v>
      </c>
      <c r="B93" s="121" t="s">
        <v>188</v>
      </c>
      <c r="C93" s="121"/>
      <c r="D93" s="121">
        <v>13</v>
      </c>
      <c r="E93" s="121" t="s">
        <v>188</v>
      </c>
      <c r="F93" s="121"/>
      <c r="G93" s="121">
        <v>13</v>
      </c>
      <c r="H93" s="121" t="s">
        <v>188</v>
      </c>
      <c r="I93" s="121"/>
      <c r="J93" s="121"/>
      <c r="K93" s="121"/>
      <c r="L93" s="121"/>
    </row>
    <row r="94" spans="1:12" ht="12.75">
      <c r="A94" s="121">
        <v>14</v>
      </c>
      <c r="B94" s="121" t="s">
        <v>169</v>
      </c>
      <c r="C94" s="121"/>
      <c r="D94" s="121">
        <v>14</v>
      </c>
      <c r="E94" s="121" t="s">
        <v>169</v>
      </c>
      <c r="F94" s="121"/>
      <c r="G94" s="121">
        <v>14</v>
      </c>
      <c r="H94" s="121" t="s">
        <v>169</v>
      </c>
      <c r="I94" s="121"/>
      <c r="J94" s="121"/>
      <c r="K94" s="121"/>
      <c r="L94" s="121"/>
    </row>
    <row r="95" spans="1:15" ht="12.75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/>
      <c r="N95"/>
      <c r="O95"/>
    </row>
    <row r="96" spans="1:15" ht="12.75">
      <c r="A96" s="121"/>
      <c r="B96" s="121"/>
      <c r="C96" s="121"/>
      <c r="D96" s="121"/>
      <c r="E96" s="121"/>
      <c r="F96" s="121"/>
      <c r="G96" s="121"/>
      <c r="H96" s="121"/>
      <c r="I96" s="121"/>
      <c r="J96" s="163"/>
      <c r="K96" s="121"/>
      <c r="L96" s="121"/>
      <c r="M96"/>
      <c r="N96"/>
      <c r="O96"/>
    </row>
    <row r="97" spans="1:15" ht="12.75">
      <c r="A97" s="121"/>
      <c r="B97" s="121"/>
      <c r="C97" s="121"/>
      <c r="D97" s="121"/>
      <c r="E97" s="121"/>
      <c r="F97" s="121"/>
      <c r="G97" s="121"/>
      <c r="H97" s="121"/>
      <c r="I97" s="121"/>
      <c r="J97" s="163"/>
      <c r="K97" s="121"/>
      <c r="L97" s="121"/>
      <c r="M97"/>
      <c r="N97"/>
      <c r="O97"/>
    </row>
    <row r="98" spans="1:15" ht="12.75">
      <c r="A98" s="170" t="s">
        <v>241</v>
      </c>
      <c r="B98" s="170" t="s">
        <v>242</v>
      </c>
      <c r="C98" s="170" t="s">
        <v>26</v>
      </c>
      <c r="D98" s="170" t="s">
        <v>27</v>
      </c>
      <c r="E98" s="170" t="s">
        <v>134</v>
      </c>
      <c r="F98" s="170" t="s">
        <v>135</v>
      </c>
      <c r="G98" s="170" t="s">
        <v>136</v>
      </c>
      <c r="H98" s="170" t="s">
        <v>243</v>
      </c>
      <c r="I98" s="121"/>
      <c r="J98" s="163"/>
      <c r="K98" s="121"/>
      <c r="L98" s="121"/>
      <c r="M98"/>
      <c r="N98"/>
      <c r="O98"/>
    </row>
    <row r="99" spans="1:15" ht="12.75">
      <c r="A99" s="121">
        <f>PSTable_New!A30</f>
        <v>0</v>
      </c>
      <c r="B99" s="121">
        <f>NVTable_RI_ADJ!H36</f>
        <v>0</v>
      </c>
      <c r="C99" s="121">
        <f>PSTable_New!B30</f>
        <v>0</v>
      </c>
      <c r="D99" s="164">
        <f>PSTable_New!D30</f>
        <v>4.315792738887321</v>
      </c>
      <c r="E99" s="170"/>
      <c r="F99" s="170"/>
      <c r="G99" s="170"/>
      <c r="H99" s="170"/>
      <c r="I99" s="121"/>
      <c r="J99" s="163"/>
      <c r="K99" s="121"/>
      <c r="L99" s="121"/>
      <c r="M99"/>
      <c r="N99"/>
      <c r="O99"/>
    </row>
    <row r="100" spans="1:15" ht="12.75">
      <c r="A100" s="121">
        <f>PSTable_New!A31</f>
        <v>1</v>
      </c>
      <c r="B100" s="121">
        <f>NVTable_RI_ADJ!H37</f>
        <v>3</v>
      </c>
      <c r="C100" s="121">
        <f>PSTable_New!B31</f>
        <v>0.15625</v>
      </c>
      <c r="D100" s="164">
        <f>PSTable_New!D31</f>
        <v>4.539303735794803</v>
      </c>
      <c r="E100" s="121">
        <f>PSTable_New!J31</f>
        <v>18.22</v>
      </c>
      <c r="F100" s="121">
        <f>PSTable_New!K31</f>
        <v>-1.28</v>
      </c>
      <c r="G100" s="121">
        <f>PSTable_New!L31</f>
        <v>21.14</v>
      </c>
      <c r="H100" s="121">
        <f>PSTable_New!M31</f>
        <v>0</v>
      </c>
      <c r="I100" s="121"/>
      <c r="J100" s="163"/>
      <c r="K100" s="121"/>
      <c r="L100" s="121"/>
      <c r="M100"/>
      <c r="N100"/>
      <c r="O100"/>
    </row>
    <row r="101" spans="1:15" ht="12.75">
      <c r="A101" s="121">
        <f>PSTable_New!A32</f>
        <v>2</v>
      </c>
      <c r="B101" s="121">
        <f>NVTable_RI_ADJ!H38</f>
        <v>4</v>
      </c>
      <c r="C101" s="121">
        <f>PSTable_New!B32</f>
        <v>0.3125</v>
      </c>
      <c r="D101" s="164">
        <f>PSTable_New!D32</f>
        <v>4.7743901647865075</v>
      </c>
      <c r="E101" s="121">
        <f>PSTable_New!J32</f>
        <v>11.7</v>
      </c>
      <c r="F101" s="121">
        <f>PSTable_New!K32</f>
        <v>4.96</v>
      </c>
      <c r="G101" s="121">
        <f>PSTable_New!L32</f>
        <v>21.42</v>
      </c>
      <c r="H101" s="121">
        <f>PSTable_New!M32</f>
        <v>0</v>
      </c>
      <c r="I101" s="121"/>
      <c r="J101" s="163"/>
      <c r="K101" s="121"/>
      <c r="L101" s="121"/>
      <c r="M101"/>
      <c r="N101"/>
      <c r="O101"/>
    </row>
    <row r="102" spans="1:15" ht="12.75">
      <c r="A102" s="121">
        <f>PSTable_New!A33</f>
        <v>3</v>
      </c>
      <c r="B102" s="121">
        <f>NVTable_RI_ADJ!H39</f>
        <v>4</v>
      </c>
      <c r="C102" s="121">
        <f>PSTable_New!B33</f>
        <v>0.46875</v>
      </c>
      <c r="D102" s="164">
        <f>PSTable_New!D33</f>
        <v>5.021651507005602</v>
      </c>
      <c r="E102" s="121">
        <f>PSTable_New!J33</f>
        <v>9.52</v>
      </c>
      <c r="F102" s="121">
        <f>PSTable_New!K33</f>
        <v>7.04</v>
      </c>
      <c r="G102" s="121">
        <f>PSTable_New!L33</f>
        <v>21.52</v>
      </c>
      <c r="H102" s="121">
        <f>PSTable_New!M33</f>
        <v>0</v>
      </c>
      <c r="I102" s="121"/>
      <c r="J102" s="121"/>
      <c r="K102" s="121"/>
      <c r="L102" s="121"/>
      <c r="M102"/>
      <c r="N102"/>
      <c r="O102"/>
    </row>
    <row r="103" spans="1:12" ht="12.75">
      <c r="A103" s="121">
        <f>PSTable_New!A34</f>
        <v>4</v>
      </c>
      <c r="B103" s="121">
        <f>NVTable_RI_ADJ!H40</f>
        <v>4</v>
      </c>
      <c r="C103" s="121">
        <f>PSTable_New!B34</f>
        <v>0.625</v>
      </c>
      <c r="D103" s="164">
        <f>PSTable_New!D34</f>
        <v>5.281718290180679</v>
      </c>
      <c r="E103" s="121">
        <f>PSTable_New!J34</f>
        <v>8.44</v>
      </c>
      <c r="F103" s="121">
        <f>PSTable_New!K34</f>
        <v>8.08</v>
      </c>
      <c r="G103" s="121">
        <f>PSTable_New!L34</f>
        <v>21.56</v>
      </c>
      <c r="H103" s="121">
        <f>PSTable_New!M34</f>
        <v>0</v>
      </c>
      <c r="I103" s="163"/>
      <c r="J103" s="121"/>
      <c r="K103" s="121"/>
      <c r="L103" s="121"/>
    </row>
    <row r="104" spans="1:12" ht="12.75">
      <c r="A104" s="121">
        <f>PSTable_New!A35</f>
        <v>5</v>
      </c>
      <c r="B104" s="121">
        <f>NVTable_RI_ADJ!H41</f>
        <v>4</v>
      </c>
      <c r="C104" s="121">
        <f>PSTable_New!B35</f>
        <v>0.78125</v>
      </c>
      <c r="D104" s="164">
        <f>PSTable_New!D35</f>
        <v>5.555253696500286</v>
      </c>
      <c r="E104" s="121">
        <f>PSTable_New!J35</f>
        <v>7.78</v>
      </c>
      <c r="F104" s="121">
        <f>PSTable_New!K35</f>
        <v>8.71</v>
      </c>
      <c r="G104" s="121">
        <f>PSTable_New!L35</f>
        <v>21.59</v>
      </c>
      <c r="H104" s="121">
        <f>PSTable_New!M35</f>
        <v>0</v>
      </c>
      <c r="I104" s="163"/>
      <c r="J104" s="121"/>
      <c r="K104" s="121"/>
      <c r="L104" s="121"/>
    </row>
    <row r="105" spans="1:12" ht="12.75">
      <c r="A105" s="121">
        <f>PSTable_New!A36</f>
        <v>6</v>
      </c>
      <c r="B105" s="121">
        <f>NVTable_RI_ADJ!H42</f>
        <v>4</v>
      </c>
      <c r="C105" s="121">
        <f>PSTable_New!B36</f>
        <v>0.9375</v>
      </c>
      <c r="D105" s="164">
        <f>PSTable_New!D36</f>
        <v>5.842955253757847</v>
      </c>
      <c r="E105" s="121">
        <f>PSTable_New!J36</f>
        <v>7.35</v>
      </c>
      <c r="F105" s="121">
        <f>PSTable_New!K36</f>
        <v>9.12</v>
      </c>
      <c r="G105" s="121">
        <f>PSTable_New!L36</f>
        <v>21.61</v>
      </c>
      <c r="H105" s="121">
        <f>PSTable_New!M36</f>
        <v>0</v>
      </c>
      <c r="I105" s="163"/>
      <c r="J105" s="121"/>
      <c r="K105" s="121"/>
      <c r="L105" s="121"/>
    </row>
    <row r="106" spans="1:12" ht="12.75">
      <c r="A106" s="121">
        <f>PSTable_New!A37</f>
        <v>7</v>
      </c>
      <c r="B106" s="121">
        <f>NVTable_RI_ADJ!H43</f>
        <v>4</v>
      </c>
      <c r="C106" s="121">
        <f>PSTable_New!B37</f>
        <v>1.09375</v>
      </c>
      <c r="D106" s="164">
        <f>PSTable_New!D37</f>
        <v>6.145556614079407</v>
      </c>
      <c r="E106" s="121">
        <f>PSTable_New!J37</f>
        <v>7.04</v>
      </c>
      <c r="F106" s="121">
        <f>PSTable_New!K37</f>
        <v>9.42</v>
      </c>
      <c r="G106" s="121">
        <f>PSTable_New!L37</f>
        <v>21.62</v>
      </c>
      <c r="H106" s="121">
        <f>PSTable_New!M37</f>
        <v>0</v>
      </c>
      <c r="I106" s="121"/>
      <c r="J106" s="121"/>
      <c r="K106" s="121"/>
      <c r="L106" s="121"/>
    </row>
    <row r="107" spans="1:12" ht="12.75">
      <c r="A107" s="121">
        <f>PSTable_New!A38</f>
        <v>8</v>
      </c>
      <c r="B107" s="121">
        <f>NVTable_RI_ADJ!H44</f>
        <v>4</v>
      </c>
      <c r="C107" s="121">
        <f>PSTable_New!B38</f>
        <v>1.25</v>
      </c>
      <c r="D107" s="164">
        <f>PSTable_New!D38</f>
        <v>6.463829424770124</v>
      </c>
      <c r="E107" s="121">
        <f>PSTable_New!J38</f>
        <v>6.8</v>
      </c>
      <c r="F107" s="121">
        <f>PSTable_New!K38</f>
        <v>9.64</v>
      </c>
      <c r="G107" s="121">
        <f>PSTable_New!L38</f>
        <v>21.63</v>
      </c>
      <c r="H107" s="121">
        <f>PSTable_New!M38</f>
        <v>0</v>
      </c>
      <c r="I107" s="121"/>
      <c r="J107" s="121"/>
      <c r="K107" s="121"/>
      <c r="L107" s="121"/>
    </row>
    <row r="108" spans="1:12" ht="12.75">
      <c r="A108" s="121">
        <f>PSTable_New!A39</f>
        <v>9</v>
      </c>
      <c r="B108" s="121">
        <f>NVTable_RI_ADJ!H45</f>
        <v>4</v>
      </c>
      <c r="C108" s="121">
        <f>PSTable_New!B39</f>
        <v>1.40625</v>
      </c>
      <c r="D108" s="164">
        <f>PSTable_New!D39</f>
        <v>6.79858529605016</v>
      </c>
      <c r="E108" s="121">
        <f>PSTable_New!J39</f>
        <v>6.62</v>
      </c>
      <c r="F108" s="121">
        <f>PSTable_New!K39</f>
        <v>9.82</v>
      </c>
      <c r="G108" s="121">
        <f>PSTable_New!L39</f>
        <v>21.64</v>
      </c>
      <c r="H108" s="121">
        <f>PSTable_New!M39</f>
        <v>0</v>
      </c>
      <c r="I108" s="121"/>
      <c r="J108" s="121"/>
      <c r="K108" s="121"/>
      <c r="L108" s="121"/>
    </row>
    <row r="109" spans="1:12" ht="12.75">
      <c r="A109" s="121">
        <f>PSTable_New!A40</f>
        <v>10</v>
      </c>
      <c r="B109" s="121">
        <f>NVTable_RI_ADJ!H46</f>
        <v>4</v>
      </c>
      <c r="C109" s="121">
        <f>PSTable_New!B40</f>
        <v>1.5625</v>
      </c>
      <c r="D109" s="164">
        <f>PSTable_New!D40</f>
        <v>7.150677870697867</v>
      </c>
      <c r="E109" s="121">
        <f>PSTable_New!J40</f>
        <v>6.48</v>
      </c>
      <c r="F109" s="121">
        <f>PSTable_New!K40</f>
        <v>9.96</v>
      </c>
      <c r="G109" s="121">
        <f>PSTable_New!L40</f>
        <v>21.65</v>
      </c>
      <c r="H109" s="121">
        <f>PSTable_New!M40</f>
        <v>0</v>
      </c>
      <c r="I109" s="121"/>
      <c r="J109" s="121"/>
      <c r="K109" s="121"/>
      <c r="L109" s="121"/>
    </row>
    <row r="110" spans="1:12" ht="12.75">
      <c r="A110" s="121">
        <f>PSTable_New!A41</f>
        <v>11</v>
      </c>
      <c r="B110" s="121">
        <f>NVTable_RI_ADJ!H47</f>
        <v>5</v>
      </c>
      <c r="C110" s="121">
        <f>PSTable_New!B41</f>
        <v>1.71875</v>
      </c>
      <c r="D110" s="164">
        <f>PSTable_New!D41</f>
        <v>7.521005000877897</v>
      </c>
      <c r="E110" s="121">
        <f>PSTable_New!J41</f>
        <v>6.36</v>
      </c>
      <c r="F110" s="121">
        <f>PSTable_New!K41</f>
        <v>10.07</v>
      </c>
      <c r="G110" s="121">
        <f>PSTable_New!L41</f>
        <v>21.65</v>
      </c>
      <c r="H110" s="121">
        <f>PSTable_New!M41</f>
        <v>0</v>
      </c>
      <c r="I110" s="121"/>
      <c r="J110" s="121"/>
      <c r="K110" s="121"/>
      <c r="L110" s="121"/>
    </row>
    <row r="111" spans="1:12" ht="12.75">
      <c r="A111" s="121">
        <f>PSTable_New!A42</f>
        <v>12</v>
      </c>
      <c r="B111" s="121">
        <f>NVTable_RI_ADJ!H48</f>
        <v>5</v>
      </c>
      <c r="C111" s="121">
        <f>PSTable_New!B42</f>
        <v>1.875</v>
      </c>
      <c r="D111" s="164">
        <f>PSTable_New!D42</f>
        <v>7.910511037705272</v>
      </c>
      <c r="E111" s="121">
        <f>PSTable_New!J42</f>
        <v>6.26</v>
      </c>
      <c r="F111" s="121">
        <f>PSTable_New!K42</f>
        <v>10.16</v>
      </c>
      <c r="G111" s="121">
        <f>PSTable_New!L42</f>
        <v>21.66</v>
      </c>
      <c r="H111" s="121">
        <f>PSTable_New!M42</f>
        <v>0</v>
      </c>
      <c r="I111" s="121"/>
      <c r="J111" s="121"/>
      <c r="K111" s="121"/>
      <c r="L111" s="121"/>
    </row>
    <row r="112" spans="1:12" ht="12.75">
      <c r="A112" s="121">
        <f>PSTable_New!A43</f>
        <v>13</v>
      </c>
      <c r="B112" s="121">
        <f>NVTable_RI_ADJ!H49</f>
        <v>5</v>
      </c>
      <c r="C112" s="121">
        <f>PSTable_New!B43</f>
        <v>2.03125</v>
      </c>
      <c r="D112" s="164">
        <f>PSTable_New!D43</f>
        <v>8.320189239383922</v>
      </c>
      <c r="E112" s="121">
        <f>PSTable_New!J43</f>
        <v>6.18</v>
      </c>
      <c r="F112" s="121">
        <f>PSTable_New!K43</f>
        <v>10.24</v>
      </c>
      <c r="G112" s="121">
        <f>PSTable_New!L43</f>
        <v>21.66</v>
      </c>
      <c r="H112" s="121">
        <f>PSTable_New!M43</f>
        <v>1</v>
      </c>
      <c r="I112" s="121"/>
      <c r="J112" s="121"/>
      <c r="K112" s="121"/>
      <c r="L112" s="121"/>
    </row>
    <row r="113" spans="1:12" ht="12.75">
      <c r="A113" s="121">
        <f>PSTable_New!A44</f>
        <v>14</v>
      </c>
      <c r="B113" s="121">
        <f>NVTable_RI_ADJ!H50</f>
        <v>5</v>
      </c>
      <c r="C113" s="121">
        <f>PSTable_New!B44</f>
        <v>2.1875</v>
      </c>
      <c r="D113" s="164">
        <f>PSTable_New!D44</f>
        <v>8.751084304060509</v>
      </c>
      <c r="E113" s="121">
        <f>PSTable_New!J44</f>
        <v>6.11</v>
      </c>
      <c r="F113" s="121">
        <f>PSTable_New!K44</f>
        <v>10.31</v>
      </c>
      <c r="G113" s="121">
        <f>PSTable_New!L44</f>
        <v>21.66</v>
      </c>
      <c r="H113" s="121">
        <f>PSTable_New!M44</f>
        <v>1</v>
      </c>
      <c r="I113" s="121"/>
      <c r="J113" s="121"/>
      <c r="K113" s="121"/>
      <c r="L113" s="121"/>
    </row>
    <row r="114" spans="1:12" ht="12.75">
      <c r="A114" s="121">
        <f>PSTable_New!A45</f>
        <v>15</v>
      </c>
      <c r="B114" s="121">
        <f>NVTable_RI_ADJ!H51</f>
        <v>5</v>
      </c>
      <c r="C114" s="121">
        <f>PSTable_New!B45</f>
        <v>2.34375</v>
      </c>
      <c r="D114" s="164">
        <f>PSTable_New!D45</f>
        <v>9.20429503385247</v>
      </c>
      <c r="E114" s="121">
        <f>PSTable_New!J45</f>
        <v>6.04</v>
      </c>
      <c r="F114" s="121">
        <f>PSTable_New!K45</f>
        <v>10.37</v>
      </c>
      <c r="G114" s="121">
        <f>PSTable_New!L45</f>
        <v>21.67</v>
      </c>
      <c r="H114" s="121">
        <f>PSTable_New!M45</f>
        <v>1</v>
      </c>
      <c r="I114" s="121"/>
      <c r="J114" s="121"/>
      <c r="K114" s="121"/>
      <c r="L114" s="121"/>
    </row>
    <row r="115" spans="1:12" ht="12.75">
      <c r="A115" s="121">
        <f>PSTable_New!A46</f>
        <v>16</v>
      </c>
      <c r="B115" s="121">
        <f>NVTable_RI_ADJ!H52</f>
        <v>5</v>
      </c>
      <c r="C115" s="121">
        <f>PSTable_New!B46</f>
        <v>2.5</v>
      </c>
      <c r="D115" s="164">
        <f>PSTable_New!D46</f>
        <v>9.68097713684367</v>
      </c>
      <c r="E115" s="121">
        <f>PSTable_New!J46</f>
        <v>5.99</v>
      </c>
      <c r="F115" s="121">
        <f>PSTable_New!K46</f>
        <v>10.42</v>
      </c>
      <c r="G115" s="121">
        <f>PSTable_New!L46</f>
        <v>21.67</v>
      </c>
      <c r="H115" s="121">
        <f>PSTable_New!M46</f>
        <v>1</v>
      </c>
      <c r="I115" s="121"/>
      <c r="J115" s="121"/>
      <c r="K115" s="121"/>
      <c r="L115" s="121"/>
    </row>
    <row r="116" spans="1:12" ht="12.75">
      <c r="A116" s="121">
        <f>PSTable_New!A47</f>
        <v>17</v>
      </c>
      <c r="B116" s="121">
        <f>NVTable_RI_ADJ!H53</f>
        <v>6</v>
      </c>
      <c r="C116" s="121">
        <f>PSTable_New!B47</f>
        <v>2.65625</v>
      </c>
      <c r="D116" s="164">
        <f>PSTable_New!D47</f>
        <v>10.182346174192833</v>
      </c>
      <c r="E116" s="121">
        <f>PSTable_New!J47</f>
        <v>5.94</v>
      </c>
      <c r="F116" s="121">
        <f>PSTable_New!K47</f>
        <v>10.47</v>
      </c>
      <c r="G116" s="121">
        <f>PSTable_New!L47</f>
        <v>21.67</v>
      </c>
      <c r="H116" s="121">
        <f>PSTable_New!M47</f>
        <v>1</v>
      </c>
      <c r="I116" s="121"/>
      <c r="J116" s="121"/>
      <c r="K116" s="121"/>
      <c r="L116" s="121"/>
    </row>
    <row r="117" spans="1:12" ht="12.75">
      <c r="A117" s="121">
        <f>PSTable_New!A48</f>
        <v>18</v>
      </c>
      <c r="B117" s="121">
        <f>NVTable_RI_ADJ!H54</f>
        <v>6</v>
      </c>
      <c r="C117" s="121">
        <f>PSTable_New!B48</f>
        <v>2.8125</v>
      </c>
      <c r="D117" s="164">
        <f>PSTable_New!D48</f>
        <v>10.709680659870115</v>
      </c>
      <c r="E117" s="121">
        <f>PSTable_New!J48</f>
        <v>5.9</v>
      </c>
      <c r="F117" s="121">
        <f>PSTable_New!K48</f>
        <v>10.51</v>
      </c>
      <c r="G117" s="121">
        <f>PSTable_New!L48</f>
        <v>21.67</v>
      </c>
      <c r="H117" s="121">
        <f>PSTable_New!M48</f>
        <v>1</v>
      </c>
      <c r="I117" s="121"/>
      <c r="J117" s="121"/>
      <c r="K117" s="121"/>
      <c r="L117" s="121"/>
    </row>
    <row r="118" spans="1:12" ht="12.75">
      <c r="A118" s="121">
        <f>PSTable_New!A49</f>
        <v>19</v>
      </c>
      <c r="B118" s="121">
        <f>NVTable_RI_ADJ!H55</f>
        <v>6</v>
      </c>
      <c r="C118" s="121">
        <f>PSTable_New!B49</f>
        <v>2.96875</v>
      </c>
      <c r="D118" s="164">
        <f>PSTable_New!D49</f>
        <v>11.264325320926174</v>
      </c>
      <c r="E118" s="121">
        <f>PSTable_New!J49</f>
        <v>5.86</v>
      </c>
      <c r="F118" s="121">
        <f>PSTable_New!K49</f>
        <v>10.55</v>
      </c>
      <c r="G118" s="121">
        <f>PSTable_New!L49</f>
        <v>21.68</v>
      </c>
      <c r="H118" s="121">
        <f>PSTable_New!M49</f>
        <v>1</v>
      </c>
      <c r="I118" s="121"/>
      <c r="J118" s="121"/>
      <c r="K118" s="121"/>
      <c r="L118" s="121"/>
    </row>
    <row r="119" spans="1:12" ht="12.75">
      <c r="A119" s="121">
        <f>PSTable_New!A50</f>
        <v>20</v>
      </c>
      <c r="B119" s="121">
        <f>NVTable_RI_ADJ!H56</f>
        <v>6</v>
      </c>
      <c r="C119" s="121">
        <f>PSTable_New!B50</f>
        <v>3.125</v>
      </c>
      <c r="D119" s="164">
        <f>PSTable_New!D50</f>
        <v>11.84769452660761</v>
      </c>
      <c r="E119" s="121">
        <f>PSTable_New!J50</f>
        <v>5.83</v>
      </c>
      <c r="F119" s="121">
        <f>PSTable_New!K50</f>
        <v>10.58</v>
      </c>
      <c r="G119" s="121">
        <f>PSTable_New!L50</f>
        <v>21.68</v>
      </c>
      <c r="H119" s="121">
        <f>PSTable_New!M50</f>
        <v>1</v>
      </c>
      <c r="I119" s="121"/>
      <c r="J119" s="121"/>
      <c r="K119" s="121"/>
      <c r="L119" s="121"/>
    </row>
    <row r="120" spans="1:12" ht="12.75">
      <c r="A120" s="121">
        <f>PSTable_New!A51</f>
        <v>21</v>
      </c>
      <c r="B120" s="121">
        <f>NVTable_RI_ADJ!H57</f>
        <v>6</v>
      </c>
      <c r="C120" s="121">
        <f>PSTable_New!B51</f>
        <v>3.28125</v>
      </c>
      <c r="D120" s="164">
        <f>PSTable_New!D51</f>
        <v>12.461275895063242</v>
      </c>
      <c r="E120" s="121">
        <f>PSTable_New!J51</f>
        <v>5.79</v>
      </c>
      <c r="F120" s="121">
        <f>PSTable_New!K51</f>
        <v>10.61</v>
      </c>
      <c r="G120" s="121">
        <f>PSTable_New!L51</f>
        <v>21.68</v>
      </c>
      <c r="H120" s="121">
        <f>PSTable_New!M51</f>
        <v>1</v>
      </c>
      <c r="I120" s="121"/>
      <c r="J120" s="121"/>
      <c r="K120" s="121"/>
      <c r="L120" s="121"/>
    </row>
    <row r="121" spans="1:12" ht="12.75">
      <c r="A121" s="121">
        <f>PSTable_New!A52</f>
        <v>22</v>
      </c>
      <c r="B121" s="121">
        <f>NVTable_RI_ADJ!H58</f>
        <v>6</v>
      </c>
      <c r="C121" s="121">
        <f>PSTable_New!B52</f>
        <v>3.4375</v>
      </c>
      <c r="D121" s="164">
        <f>PSTable_New!D52</f>
        <v>13.106634086838415</v>
      </c>
      <c r="E121" s="121">
        <f>PSTable_New!J52</f>
        <v>5.77</v>
      </c>
      <c r="F121" s="121">
        <f>PSTable_New!K52</f>
        <v>10.64</v>
      </c>
      <c r="G121" s="121">
        <f>PSTable_New!L52</f>
        <v>21.68</v>
      </c>
      <c r="H121" s="121">
        <f>PSTable_New!M52</f>
        <v>1</v>
      </c>
      <c r="I121" s="121"/>
      <c r="J121" s="121"/>
      <c r="K121" s="121"/>
      <c r="L121" s="121"/>
    </row>
    <row r="122" spans="1:12" ht="12.75">
      <c r="A122" s="121">
        <f>PSTable_New!A53</f>
        <v>23</v>
      </c>
      <c r="B122" s="121">
        <f>NVTable_RI_ADJ!H59</f>
        <v>7</v>
      </c>
      <c r="C122" s="121">
        <f>PSTable_New!B53</f>
        <v>3.59375</v>
      </c>
      <c r="D122" s="164">
        <f>PSTable_New!D53</f>
        <v>13.785414794830908</v>
      </c>
      <c r="E122" s="121">
        <f>PSTable_New!J53</f>
        <v>5.74</v>
      </c>
      <c r="F122" s="121">
        <f>PSTable_New!K53</f>
        <v>10.66</v>
      </c>
      <c r="G122" s="121">
        <f>PSTable_New!L53</f>
        <v>21.68</v>
      </c>
      <c r="H122" s="121">
        <f>PSTable_New!M53</f>
        <v>1</v>
      </c>
      <c r="I122" s="121"/>
      <c r="J122" s="121"/>
      <c r="K122" s="121"/>
      <c r="L122" s="121"/>
    </row>
    <row r="123" spans="1:12" ht="12.75">
      <c r="A123" s="121">
        <f>PSTable_New!A54</f>
        <v>24</v>
      </c>
      <c r="B123" s="121">
        <f>NVTable_RI_ADJ!H60</f>
        <v>7</v>
      </c>
      <c r="C123" s="121">
        <f>PSTable_New!B54</f>
        <v>3.75</v>
      </c>
      <c r="D123" s="164">
        <f>PSTable_New!D54</f>
        <v>14.49934894088311</v>
      </c>
      <c r="E123" s="121">
        <f>PSTable_New!J54</f>
        <v>5.72</v>
      </c>
      <c r="F123" s="121">
        <f>PSTable_New!K54</f>
        <v>10.68</v>
      </c>
      <c r="G123" s="121">
        <f>PSTable_New!L54</f>
        <v>21.68</v>
      </c>
      <c r="H123" s="121">
        <f>PSTable_New!M54</f>
        <v>1</v>
      </c>
      <c r="I123" s="121"/>
      <c r="J123" s="121"/>
      <c r="K123" s="121"/>
      <c r="L123" s="121"/>
    </row>
    <row r="124" spans="1:12" ht="12.75">
      <c r="A124" s="121">
        <f>PSTable_New!A55</f>
        <v>25</v>
      </c>
      <c r="B124" s="121">
        <f>NVTable_RI_ADJ!H61</f>
        <v>7</v>
      </c>
      <c r="C124" s="121">
        <f>PSTable_New!B55</f>
        <v>3.90625</v>
      </c>
      <c r="D124" s="164">
        <f>PSTable_New!D55</f>
        <v>15.250257089711813</v>
      </c>
      <c r="E124" s="121">
        <f>PSTable_New!J55</f>
        <v>5.69</v>
      </c>
      <c r="F124" s="121">
        <f>PSTable_New!K55</f>
        <v>10.7</v>
      </c>
      <c r="G124" s="121">
        <f>PSTable_New!L55</f>
        <v>21.68</v>
      </c>
      <c r="H124" s="121">
        <f>PSTable_New!M55</f>
        <v>1</v>
      </c>
      <c r="I124" s="121"/>
      <c r="J124" s="121"/>
      <c r="K124" s="121"/>
      <c r="L124" s="121"/>
    </row>
    <row r="125" spans="1:12" ht="12.75">
      <c r="A125" s="121">
        <f>PSTable_New!A56</f>
        <v>26</v>
      </c>
      <c r="B125" s="121">
        <f>NVTable_RI_ADJ!H62</f>
        <v>7</v>
      </c>
      <c r="C125" s="121">
        <f>PSTable_New!B56</f>
        <v>4.0625</v>
      </c>
      <c r="D125" s="164">
        <f>PSTable_New!D56</f>
        <v>16.040054091431514</v>
      </c>
      <c r="E125" s="121">
        <f>PSTable_New!J56</f>
        <v>5.67</v>
      </c>
      <c r="F125" s="121">
        <f>PSTable_New!K56</f>
        <v>10.72</v>
      </c>
      <c r="G125" s="121">
        <f>PSTable_New!L56</f>
        <v>21.68</v>
      </c>
      <c r="H125" s="121">
        <f>PSTable_New!M56</f>
        <v>1</v>
      </c>
      <c r="I125" s="121"/>
      <c r="J125" s="121"/>
      <c r="K125" s="121"/>
      <c r="L125" s="121"/>
    </row>
    <row r="126" spans="1:12" ht="12.75">
      <c r="A126" s="121">
        <f>PSTable_New!A57</f>
        <v>27</v>
      </c>
      <c r="B126" s="121">
        <f>NVTable_RI_ADJ!H63</f>
        <v>7</v>
      </c>
      <c r="C126" s="121">
        <f>PSTable_New!B57</f>
        <v>4.21875</v>
      </c>
      <c r="D126" s="164">
        <f>PSTable_New!D57</f>
        <v>16.87075396450977</v>
      </c>
      <c r="E126" s="121">
        <f>PSTable_New!J57</f>
        <v>5.66</v>
      </c>
      <c r="F126" s="121">
        <f>PSTable_New!K57</f>
        <v>10.74</v>
      </c>
      <c r="G126" s="121">
        <f>PSTable_New!L57</f>
        <v>21.68</v>
      </c>
      <c r="H126" s="121">
        <f>PSTable_New!M57</f>
        <v>1</v>
      </c>
      <c r="I126" s="121"/>
      <c r="J126" s="121"/>
      <c r="K126" s="121"/>
      <c r="L126" s="121"/>
    </row>
    <row r="127" spans="1:12" ht="12.75">
      <c r="A127" s="121">
        <f>PSTable_New!A58</f>
        <v>28</v>
      </c>
      <c r="B127" s="121">
        <f>NVTable_RI_ADJ!H64</f>
        <v>7</v>
      </c>
      <c r="C127" s="121">
        <f>PSTable_New!B58</f>
        <v>4.375</v>
      </c>
      <c r="D127" s="164">
        <f>PSTable_New!D58</f>
        <v>17.744475031606378</v>
      </c>
      <c r="E127" s="121">
        <f>PSTable_New!J58</f>
        <v>5.64</v>
      </c>
      <c r="F127" s="121">
        <f>PSTable_New!K58</f>
        <v>10.76</v>
      </c>
      <c r="G127" s="121">
        <f>PSTable_New!L58</f>
        <v>21.69</v>
      </c>
      <c r="H127" s="121">
        <f>PSTable_New!M58</f>
        <v>1</v>
      </c>
      <c r="I127" s="121"/>
      <c r="J127" s="121"/>
      <c r="K127" s="121"/>
      <c r="L127" s="121"/>
    </row>
    <row r="128" spans="1:12" ht="12.75">
      <c r="A128" s="121">
        <f>PSTable_New!A59</f>
        <v>29</v>
      </c>
      <c r="B128" s="121">
        <f>NVTable_RI_ADJ!H65</f>
        <v>7</v>
      </c>
      <c r="C128" s="121">
        <f>PSTable_New!B59</f>
        <v>4.53125</v>
      </c>
      <c r="D128" s="164">
        <f>PSTable_New!D59</f>
        <v>18.663445321392995</v>
      </c>
      <c r="E128" s="121">
        <f>PSTable_New!J59</f>
        <v>5.62</v>
      </c>
      <c r="F128" s="121">
        <f>PSTable_New!K59</f>
        <v>10.77</v>
      </c>
      <c r="G128" s="121">
        <f>PSTable_New!L59</f>
        <v>21.69</v>
      </c>
      <c r="H128" s="121">
        <f>PSTable_New!M59</f>
        <v>1</v>
      </c>
      <c r="I128" s="121"/>
      <c r="J128" s="121"/>
      <c r="K128" s="121"/>
      <c r="L128" s="121"/>
    </row>
    <row r="129" spans="1:12" ht="12.75">
      <c r="A129" s="121">
        <f>PSTable_New!A60</f>
        <v>30</v>
      </c>
      <c r="B129" s="121">
        <f>NVTable_RI_ADJ!H66</f>
        <v>7</v>
      </c>
      <c r="C129" s="121">
        <f>PSTable_New!B60</f>
        <v>4.6875</v>
      </c>
      <c r="D129" s="164">
        <f>PSTable_New!D60</f>
        <v>19.630008250128142</v>
      </c>
      <c r="E129" s="121">
        <f>PSTable_New!J60</f>
        <v>5.61</v>
      </c>
      <c r="F129" s="121">
        <f>PSTable_New!K60</f>
        <v>10.79</v>
      </c>
      <c r="G129" s="121">
        <f>PSTable_New!L60</f>
        <v>21.69</v>
      </c>
      <c r="H129" s="121">
        <f>PSTable_New!M60</f>
        <v>1</v>
      </c>
      <c r="I129" s="121"/>
      <c r="J129" s="121"/>
      <c r="K129" s="121"/>
      <c r="L129" s="121"/>
    </row>
    <row r="130" spans="1:12" ht="12.75">
      <c r="A130" s="121">
        <f>PSTable_New!A61</f>
        <v>31</v>
      </c>
      <c r="B130" s="121">
        <f>NVTable_RI_ADJ!H67</f>
        <v>7</v>
      </c>
      <c r="C130" s="121">
        <f>PSTable_New!B61</f>
        <v>4.84375</v>
      </c>
      <c r="D130" s="164">
        <f>PSTable_New!D61</f>
        <v>20.646628597475818</v>
      </c>
      <c r="E130" s="121">
        <f>PSTable_New!J61</f>
        <v>5.59</v>
      </c>
      <c r="F130" s="121">
        <f>PSTable_New!K61</f>
        <v>10.8</v>
      </c>
      <c r="G130" s="121">
        <f>PSTable_New!L61</f>
        <v>21.69</v>
      </c>
      <c r="H130" s="121">
        <f>PSTable_New!M61</f>
        <v>1</v>
      </c>
      <c r="I130" s="121"/>
      <c r="J130" s="121"/>
      <c r="K130" s="121"/>
      <c r="L130" s="121"/>
    </row>
    <row r="131" spans="1:12" ht="12.75">
      <c r="A131" s="121">
        <f>PSTable_New!A62</f>
        <v>32</v>
      </c>
      <c r="B131" s="121">
        <f>NVTable_RI_ADJ!H68</f>
        <v>7</v>
      </c>
      <c r="C131" s="121">
        <f>PSTable_New!B62</f>
        <v>5</v>
      </c>
      <c r="D131" s="164">
        <f>PSTable_New!D62</f>
        <v>21.715898791806342</v>
      </c>
      <c r="E131" s="121">
        <f>PSTable_New!J62</f>
        <v>5.58</v>
      </c>
      <c r="F131" s="121">
        <f>PSTable_New!K62</f>
        <v>10.81</v>
      </c>
      <c r="G131" s="121">
        <f>PSTable_New!L62</f>
        <v>21.69</v>
      </c>
      <c r="H131" s="121">
        <f>PSTable_New!M62</f>
        <v>1</v>
      </c>
      <c r="I131" s="121"/>
      <c r="J131" s="121"/>
      <c r="K131" s="121"/>
      <c r="L131" s="121"/>
    </row>
    <row r="132" spans="1:12" ht="12.75">
      <c r="A132" s="121">
        <f>PSTable_New!A63</f>
        <v>33</v>
      </c>
      <c r="B132" s="121">
        <f>NVTable_RI_ADJ!H69</f>
        <v>7</v>
      </c>
      <c r="C132" s="121">
        <f>PSTable_New!B63</f>
        <v>5.15625</v>
      </c>
      <c r="D132" s="164">
        <f>PSTable_New!D63</f>
        <v>22.840545521007236</v>
      </c>
      <c r="E132" s="121">
        <f>PSTable_New!J63</f>
        <v>5.57</v>
      </c>
      <c r="F132" s="121">
        <f>PSTable_New!K63</f>
        <v>10.83</v>
      </c>
      <c r="G132" s="121">
        <f>PSTable_New!L63</f>
        <v>21.69</v>
      </c>
      <c r="H132" s="121">
        <f>PSTable_New!M63</f>
        <v>1</v>
      </c>
      <c r="I132" s="121"/>
      <c r="J132" s="121"/>
      <c r="K132" s="121"/>
      <c r="L132" s="121"/>
    </row>
    <row r="133" spans="1:12" ht="12.75">
      <c r="A133" s="121">
        <f>PSTable_New!A64</f>
        <v>34</v>
      </c>
      <c r="B133" s="121">
        <f>NVTable_RI_ADJ!H70</f>
        <v>7</v>
      </c>
      <c r="C133" s="121">
        <f>PSTable_New!B64</f>
        <v>5.3125</v>
      </c>
      <c r="D133" s="164">
        <f>PSTable_New!D64</f>
        <v>24.023436685662013</v>
      </c>
      <c r="E133" s="121">
        <f>PSTable_New!J64</f>
        <v>5.56</v>
      </c>
      <c r="F133" s="121">
        <f>PSTable_New!K64</f>
        <v>10.84</v>
      </c>
      <c r="G133" s="121">
        <f>PSTable_New!L64</f>
        <v>21.69</v>
      </c>
      <c r="H133" s="121">
        <f>PSTable_New!M64</f>
        <v>1</v>
      </c>
      <c r="I133" s="121"/>
      <c r="J133" s="121"/>
      <c r="K133" s="121"/>
      <c r="L133" s="121"/>
    </row>
    <row r="134" spans="1:12" ht="12.75">
      <c r="A134" s="121">
        <f>PSTable_New!A65</f>
        <v>35</v>
      </c>
      <c r="B134" s="121">
        <f>NVTable_RI_ADJ!H71</f>
        <v>7</v>
      </c>
      <c r="C134" s="121">
        <f>PSTable_New!B65</f>
        <v>5.46875</v>
      </c>
      <c r="D134" s="164">
        <f>PSTable_New!D65</f>
        <v>25.26758871232778</v>
      </c>
      <c r="E134" s="121">
        <f>PSTable_New!J65</f>
        <v>5.55</v>
      </c>
      <c r="F134" s="121">
        <f>PSTable_New!K65</f>
        <v>10.85</v>
      </c>
      <c r="G134" s="121">
        <f>PSTable_New!L65</f>
        <v>21.69</v>
      </c>
      <c r="H134" s="121">
        <f>PSTable_New!M65</f>
        <v>1</v>
      </c>
      <c r="I134" s="121"/>
      <c r="J134" s="121"/>
      <c r="K134" s="121"/>
      <c r="L134" s="121"/>
    </row>
    <row r="135" spans="1:12" ht="12.75">
      <c r="A135" s="121">
        <f>PSTable_New!A66</f>
        <v>36</v>
      </c>
      <c r="B135" s="121">
        <f>NVTable_RI_ADJ!H72</f>
        <v>6</v>
      </c>
      <c r="C135" s="121">
        <f>PSTable_New!B66</f>
        <v>5.625</v>
      </c>
      <c r="D135" s="164">
        <f>PSTable_New!D66</f>
        <v>26.57617424556091</v>
      </c>
      <c r="E135" s="121">
        <f>PSTable_New!J66</f>
        <v>5.54</v>
      </c>
      <c r="F135" s="121">
        <f>PSTable_New!K66</f>
        <v>10.86</v>
      </c>
      <c r="G135" s="121">
        <f>PSTable_New!L66</f>
        <v>21.69</v>
      </c>
      <c r="H135" s="121">
        <f>PSTable_New!M66</f>
        <v>1</v>
      </c>
      <c r="I135" s="121"/>
      <c r="J135" s="121"/>
      <c r="K135" s="121"/>
      <c r="L135" s="121"/>
    </row>
    <row r="136" spans="1:12" ht="12.75">
      <c r="A136" s="121">
        <f>PSTable_New!A67</f>
        <v>37</v>
      </c>
      <c r="B136" s="121">
        <f>NVTable_RI_ADJ!H73</f>
        <v>6</v>
      </c>
      <c r="C136" s="121">
        <f>PSTable_New!B67</f>
        <v>5.78125</v>
      </c>
      <c r="D136" s="164">
        <f>PSTable_New!D67</f>
        <v>27.952530238305762</v>
      </c>
      <c r="E136" s="121">
        <f>PSTable_New!J67</f>
        <v>5.53</v>
      </c>
      <c r="F136" s="121">
        <f>PSTable_New!K67</f>
        <v>10.87</v>
      </c>
      <c r="G136" s="121">
        <f>PSTable_New!L67</f>
        <v>21.69</v>
      </c>
      <c r="H136" s="121">
        <f>PSTable_New!M67</f>
        <v>1</v>
      </c>
      <c r="I136" s="121"/>
      <c r="J136" s="121"/>
      <c r="K136" s="121"/>
      <c r="L136" s="121"/>
    </row>
    <row r="137" spans="1:12" ht="12.75">
      <c r="A137" s="121">
        <f>PSTable_New!A68</f>
        <v>38</v>
      </c>
      <c r="B137" s="121">
        <f>NVTable_RI_ADJ!H74</f>
        <v>6</v>
      </c>
      <c r="C137" s="121">
        <f>PSTable_New!B68</f>
        <v>5.9375</v>
      </c>
      <c r="D137" s="164">
        <f>PSTable_New!D68</f>
        <v>29.40016646127717</v>
      </c>
      <c r="E137" s="121">
        <f>PSTable_New!J68</f>
        <v>5.52</v>
      </c>
      <c r="F137" s="121">
        <f>PSTable_New!K68</f>
        <v>10.88</v>
      </c>
      <c r="G137" s="121">
        <f>PSTable_New!L68</f>
        <v>21.69</v>
      </c>
      <c r="H137" s="121">
        <f>PSTable_New!M68</f>
        <v>1</v>
      </c>
      <c r="I137" s="121"/>
      <c r="J137" s="121"/>
      <c r="K137" s="121"/>
      <c r="L137" s="121"/>
    </row>
    <row r="138" spans="1:12" ht="12.75">
      <c r="A138" s="121">
        <f>PSTable_New!A69</f>
        <v>39</v>
      </c>
      <c r="B138" s="121">
        <f>NVTable_RI_ADJ!H75</f>
        <v>6</v>
      </c>
      <c r="C138" s="121">
        <f>PSTable_New!B69</f>
        <v>6.09375</v>
      </c>
      <c r="D138" s="164">
        <f>PSTable_New!D69</f>
        <v>30.922774453036315</v>
      </c>
      <c r="E138" s="121">
        <f>PSTable_New!J69</f>
        <v>5.51</v>
      </c>
      <c r="F138" s="121">
        <f>PSTable_New!K69</f>
        <v>10.88</v>
      </c>
      <c r="G138" s="121">
        <f>PSTable_New!L69</f>
        <v>21.69</v>
      </c>
      <c r="H138" s="121">
        <f>PSTable_New!M69</f>
        <v>1</v>
      </c>
      <c r="I138" s="121"/>
      <c r="J138" s="121"/>
      <c r="K138" s="121"/>
      <c r="L138" s="121"/>
    </row>
    <row r="139" spans="1:12" ht="12.75">
      <c r="A139" s="121">
        <f>PSTable_New!A70</f>
        <v>40</v>
      </c>
      <c r="B139" s="121">
        <f>NVTable_RI_ADJ!H76</f>
        <v>5</v>
      </c>
      <c r="C139" s="121">
        <f>PSTable_New!B70</f>
        <v>6.25</v>
      </c>
      <c r="D139" s="164">
        <f>PSTable_New!D70</f>
        <v>32.52423693358288</v>
      </c>
      <c r="E139" s="121">
        <f>PSTable_New!J70</f>
        <v>5.5</v>
      </c>
      <c r="F139" s="121">
        <f>PSTable_New!K70</f>
        <v>10.89</v>
      </c>
      <c r="G139" s="121">
        <f>PSTable_New!L70</f>
        <v>21.69</v>
      </c>
      <c r="H139" s="121">
        <f>PSTable_New!M70</f>
        <v>1</v>
      </c>
      <c r="I139" s="121"/>
      <c r="J139" s="121"/>
      <c r="K139" s="121"/>
      <c r="L139" s="121"/>
    </row>
    <row r="140" spans="1:12" ht="12.75">
      <c r="A140" s="121">
        <f>PSTable_New!A71</f>
        <v>41</v>
      </c>
      <c r="B140" s="121">
        <f>NVTable_RI_ADJ!H77</f>
        <v>5</v>
      </c>
      <c r="C140" s="121">
        <f>PSTable_New!B71</f>
        <v>6.40625</v>
      </c>
      <c r="D140" s="164">
        <f>PSTable_New!D71</f>
        <v>34.208637705468504</v>
      </c>
      <c r="E140" s="121">
        <f>PSTable_New!J71</f>
        <v>5.49</v>
      </c>
      <c r="F140" s="121">
        <f>PSTable_New!K71</f>
        <v>10.9</v>
      </c>
      <c r="G140" s="121">
        <f>PSTable_New!L71</f>
        <v>21.69</v>
      </c>
      <c r="H140" s="121">
        <f>PSTable_New!M71</f>
        <v>1</v>
      </c>
      <c r="I140" s="121"/>
      <c r="J140" s="121"/>
      <c r="K140" s="121"/>
      <c r="L140" s="121"/>
    </row>
    <row r="141" spans="1:12" ht="12.75">
      <c r="A141" s="121">
        <f>PSTable_New!A72</f>
        <v>42</v>
      </c>
      <c r="B141" s="121">
        <f>NVTable_RI_ADJ!H78</f>
        <v>5</v>
      </c>
      <c r="C141" s="121">
        <f>PSTable_New!B72</f>
        <v>6.5625</v>
      </c>
      <c r="D141" s="164">
        <f>PSTable_New!D72</f>
        <v>35.980272067680104</v>
      </c>
      <c r="E141" s="121">
        <f>PSTable_New!J72</f>
        <v>5.48</v>
      </c>
      <c r="F141" s="121">
        <f>PSTable_New!K72</f>
        <v>10.91</v>
      </c>
      <c r="G141" s="121">
        <f>PSTable_New!L72</f>
        <v>21.69</v>
      </c>
      <c r="H141" s="121">
        <f>PSTable_New!M72</f>
        <v>1</v>
      </c>
      <c r="I141" s="121"/>
      <c r="J141" s="121"/>
      <c r="K141" s="121"/>
      <c r="L141" s="121"/>
    </row>
    <row r="142" spans="1:12" ht="12.75">
      <c r="A142" s="121">
        <f>PSTable_New!A73</f>
        <v>43</v>
      </c>
      <c r="B142" s="121">
        <f>NVTable_RI_ADJ!H79</f>
        <v>4</v>
      </c>
      <c r="C142" s="121">
        <f>PSTable_New!B73</f>
        <v>6.71875</v>
      </c>
      <c r="D142" s="164">
        <f>PSTable_New!D73</f>
        <v>37.843657768848644</v>
      </c>
      <c r="E142" s="121">
        <f>PSTable_New!J73</f>
        <v>5.48</v>
      </c>
      <c r="F142" s="121">
        <f>PSTable_New!K73</f>
        <v>10.91</v>
      </c>
      <c r="G142" s="121">
        <f>PSTable_New!L73</f>
        <v>21.69</v>
      </c>
      <c r="H142" s="121">
        <f>PSTable_New!M73</f>
        <v>1</v>
      </c>
      <c r="I142" s="121"/>
      <c r="J142" s="121"/>
      <c r="K142" s="121"/>
      <c r="L142" s="121"/>
    </row>
    <row r="143" spans="1:12" ht="12.75">
      <c r="A143" s="121">
        <f>PSTable_New!A74</f>
        <v>44</v>
      </c>
      <c r="B143" s="121">
        <f>NVTable_RI_ADJ!H80</f>
        <v>4</v>
      </c>
      <c r="C143" s="121">
        <f>PSTable_New!B74</f>
        <v>6.875</v>
      </c>
      <c r="D143" s="164">
        <f>PSTable_New!D74</f>
        <v>39.803546527714666</v>
      </c>
      <c r="E143" s="121">
        <f>PSTable_New!J74</f>
        <v>5.47</v>
      </c>
      <c r="F143" s="121">
        <f>PSTable_New!K74</f>
        <v>10.92</v>
      </c>
      <c r="G143" s="121">
        <f>PSTable_New!L74</f>
        <v>21.69</v>
      </c>
      <c r="H143" s="121">
        <f>PSTable_New!M74</f>
        <v>1</v>
      </c>
      <c r="I143" s="121"/>
      <c r="J143" s="121"/>
      <c r="K143" s="121"/>
      <c r="L143" s="121"/>
    </row>
    <row r="144" spans="1:12" ht="12.75">
      <c r="A144" s="121">
        <f>PSTable_New!A75</f>
        <v>45</v>
      </c>
      <c r="B144" s="121">
        <f>NVTable_RI_ADJ!H81</f>
        <v>4</v>
      </c>
      <c r="C144" s="121">
        <f>PSTable_New!B75</f>
        <v>7.03125</v>
      </c>
      <c r="D144" s="164">
        <f>PSTable_New!D75</f>
        <v>41.86493615022848</v>
      </c>
      <c r="E144" s="121">
        <f>PSTable_New!J75</f>
        <v>5.46</v>
      </c>
      <c r="F144" s="121">
        <f>PSTable_New!K75</f>
        <v>10.93</v>
      </c>
      <c r="G144" s="121">
        <f>PSTable_New!L75</f>
        <v>21.69</v>
      </c>
      <c r="H144" s="121">
        <f>PSTable_New!M75</f>
        <v>1</v>
      </c>
      <c r="I144" s="121"/>
      <c r="J144" s="121"/>
      <c r="K144" s="121"/>
      <c r="L144" s="121"/>
    </row>
    <row r="145" spans="1:12" ht="12.75">
      <c r="A145" s="121">
        <f>PSTable_New!A76</f>
        <v>46</v>
      </c>
      <c r="B145" s="121">
        <f>NVTable_RI_ADJ!H82</f>
        <v>3</v>
      </c>
      <c r="C145" s="121">
        <f>PSTable_New!B76</f>
        <v>7.1875</v>
      </c>
      <c r="D145" s="164">
        <f>PSTable_New!D76</f>
        <v>44.03308327418371</v>
      </c>
      <c r="E145" s="121">
        <f>PSTable_New!J76</f>
        <v>5.46</v>
      </c>
      <c r="F145" s="121">
        <f>PSTable_New!K76</f>
        <v>10.93</v>
      </c>
      <c r="G145" s="121">
        <f>PSTable_New!L76</f>
        <v>21.69</v>
      </c>
      <c r="H145" s="121">
        <f>PSTable_New!M76</f>
        <v>1</v>
      </c>
      <c r="I145" s="121"/>
      <c r="J145" s="121"/>
      <c r="K145" s="121"/>
      <c r="L145" s="121"/>
    </row>
    <row r="146" spans="1:12" ht="12.75">
      <c r="A146" s="121">
        <f>PSTable_New!A77</f>
        <v>47</v>
      </c>
      <c r="B146" s="121">
        <f>NVTable_RI_ADJ!H83</f>
        <v>3</v>
      </c>
      <c r="C146" s="121">
        <f>PSTable_New!B77</f>
        <v>7.34375</v>
      </c>
      <c r="D146" s="164">
        <f>PSTable_New!D77</f>
        <v>46.313516773884295</v>
      </c>
      <c r="E146" s="121">
        <f>PSTable_New!J77</f>
        <v>5.45</v>
      </c>
      <c r="F146" s="121">
        <f>PSTable_New!K77</f>
        <v>10.94</v>
      </c>
      <c r="G146" s="121">
        <f>PSTable_New!L77</f>
        <v>21.69</v>
      </c>
      <c r="H146" s="121">
        <f>PSTable_New!M77</f>
        <v>1</v>
      </c>
      <c r="I146" s="121"/>
      <c r="J146" s="121"/>
      <c r="K146" s="121"/>
      <c r="L146" s="121"/>
    </row>
    <row r="147" spans="1:12" ht="12.75">
      <c r="A147" s="121">
        <f>PSTable_New!A78</f>
        <v>48</v>
      </c>
      <c r="B147" s="121">
        <f>NVTable_RI_ADJ!H84</f>
        <v>3</v>
      </c>
      <c r="C147" s="121">
        <f>PSTable_New!B78</f>
        <v>7.5</v>
      </c>
      <c r="D147" s="164">
        <f>PSTable_New!D78</f>
        <v>48.71205185902627</v>
      </c>
      <c r="E147" s="121">
        <f>PSTable_New!J78</f>
        <v>5.44</v>
      </c>
      <c r="F147" s="121">
        <f>PSTable_New!K78</f>
        <v>10.94</v>
      </c>
      <c r="G147" s="121">
        <f>PSTable_New!L78</f>
        <v>21.69</v>
      </c>
      <c r="H147" s="121">
        <f>PSTable_New!M78</f>
        <v>1</v>
      </c>
      <c r="I147" s="121"/>
      <c r="J147" s="121"/>
      <c r="K147" s="121"/>
      <c r="L147" s="121"/>
    </row>
    <row r="148" spans="1:12" ht="12.75">
      <c r="A148" s="121">
        <f>PSTable_New!A79</f>
        <v>49</v>
      </c>
      <c r="B148" s="121">
        <f>NVTable_RI_ADJ!H85</f>
        <v>2</v>
      </c>
      <c r="C148" s="121">
        <f>PSTable_New!B79</f>
        <v>7.65625</v>
      </c>
      <c r="D148" s="164">
        <f>PSTable_New!D79</f>
        <v>51.2348049037489</v>
      </c>
      <c r="E148" s="121">
        <f>PSTable_New!J79</f>
        <v>5.44</v>
      </c>
      <c r="F148" s="121">
        <f>PSTable_New!K79</f>
        <v>10.95</v>
      </c>
      <c r="G148" s="121">
        <f>PSTable_New!L79</f>
        <v>21.69</v>
      </c>
      <c r="H148" s="121">
        <f>PSTable_New!M79</f>
        <v>1</v>
      </c>
      <c r="I148" s="121"/>
      <c r="J148" s="121"/>
      <c r="K148" s="121"/>
      <c r="L148" s="121"/>
    </row>
    <row r="149" spans="1:12" ht="12.75">
      <c r="A149" s="121">
        <f>PSTable_New!A80</f>
        <v>50</v>
      </c>
      <c r="B149" s="121">
        <f>NVTable_RI_ADJ!H86</f>
        <v>2</v>
      </c>
      <c r="C149" s="121">
        <f>PSTable_New!B80</f>
        <v>7.8125</v>
      </c>
      <c r="D149" s="164">
        <f>PSTable_New!D80</f>
        <v>53.88820904366818</v>
      </c>
      <c r="E149" s="121">
        <f>PSTable_New!J80</f>
        <v>5.43</v>
      </c>
      <c r="F149" s="121">
        <f>PSTable_New!K80</f>
        <v>10.95</v>
      </c>
      <c r="G149" s="121">
        <f>PSTable_New!L80</f>
        <v>21.69</v>
      </c>
      <c r="H149" s="121">
        <f>PSTable_New!M80</f>
        <v>1</v>
      </c>
      <c r="I149" s="121"/>
      <c r="J149" s="121"/>
      <c r="K149" s="121"/>
      <c r="L149" s="121"/>
    </row>
    <row r="150" spans="1:12" ht="12.75">
      <c r="A150" s="121">
        <f>PSTable_New!A81</f>
        <v>51</v>
      </c>
      <c r="B150" s="121">
        <f>NVTable_RI_ADJ!H87</f>
        <v>2</v>
      </c>
      <c r="C150" s="121">
        <f>PSTable_New!B81</f>
        <v>7.96875</v>
      </c>
      <c r="D150" s="164">
        <f>PSTable_New!D81</f>
        <v>56.6790305806668</v>
      </c>
      <c r="E150" s="121">
        <f>PSTable_New!J81</f>
        <v>5.43</v>
      </c>
      <c r="F150" s="121">
        <f>PSTable_New!K81</f>
        <v>10.96</v>
      </c>
      <c r="G150" s="121">
        <f>PSTable_New!L81</f>
        <v>21.69</v>
      </c>
      <c r="H150" s="121">
        <f>PSTable_New!M81</f>
        <v>1</v>
      </c>
      <c r="I150" s="121"/>
      <c r="J150" s="121"/>
      <c r="K150" s="121"/>
      <c r="L150" s="121"/>
    </row>
    <row r="151" spans="1:12" ht="12.75">
      <c r="A151" s="121">
        <f>PSTable_New!A82</f>
        <v>52</v>
      </c>
      <c r="B151" s="121">
        <f>NVTable_RI_ADJ!H88</f>
        <v>1</v>
      </c>
      <c r="C151" s="121">
        <f>PSTable_New!B82</f>
        <v>8.125</v>
      </c>
      <c r="D151" s="164">
        <f>PSTable_New!D82</f>
        <v>59.61438623727336</v>
      </c>
      <c r="E151" s="121">
        <f>PSTable_New!J82</f>
        <v>5.42</v>
      </c>
      <c r="F151" s="121">
        <f>PSTable_New!K82</f>
        <v>10.96</v>
      </c>
      <c r="G151" s="121">
        <f>PSTable_New!L82</f>
        <v>21.69</v>
      </c>
      <c r="H151" s="121">
        <f>PSTable_New!M82</f>
        <v>1</v>
      </c>
      <c r="I151" s="121"/>
      <c r="J151" s="121"/>
      <c r="K151" s="121"/>
      <c r="L151" s="121"/>
    </row>
    <row r="152" spans="1:12" ht="12.75">
      <c r="A152" s="121">
        <f>PSTable_New!A83</f>
        <v>53</v>
      </c>
      <c r="B152" s="121">
        <f>NVTable_RI_ADJ!H89</f>
        <v>1</v>
      </c>
      <c r="C152" s="121">
        <f>PSTable_New!B83</f>
        <v>8.28125</v>
      </c>
      <c r="D152" s="164">
        <f>PSTable_New!D83</f>
        <v>62.70176130463023</v>
      </c>
      <c r="E152" s="121">
        <f>PSTable_New!J83</f>
        <v>5.42</v>
      </c>
      <c r="F152" s="121">
        <f>PSTable_New!K83</f>
        <v>10.97</v>
      </c>
      <c r="G152" s="121">
        <f>PSTable_New!L83</f>
        <v>21.69</v>
      </c>
      <c r="H152" s="121">
        <f>PSTable_New!M83</f>
        <v>1</v>
      </c>
      <c r="I152" s="121"/>
      <c r="J152" s="121"/>
      <c r="K152" s="121"/>
      <c r="L152" s="121"/>
    </row>
    <row r="153" spans="1:12" ht="12.75">
      <c r="A153" s="121">
        <f>PSTable_New!A84</f>
        <v>54</v>
      </c>
      <c r="B153" s="121">
        <f>NVTable_RI_ADJ!H90</f>
        <v>0</v>
      </c>
      <c r="C153" s="121">
        <f>PSTable_New!B84</f>
        <v>8.4375</v>
      </c>
      <c r="D153" s="164">
        <f>PSTable_New!D84</f>
        <v>65.9490287303283</v>
      </c>
      <c r="E153" s="121">
        <f>PSTable_New!J84</f>
        <v>5.41</v>
      </c>
      <c r="F153" s="121">
        <f>PSTable_New!K84</f>
        <v>10.97</v>
      </c>
      <c r="G153" s="121">
        <f>PSTable_New!L84</f>
        <v>21.69</v>
      </c>
      <c r="H153" s="121">
        <f>PSTable_New!M84</f>
        <v>1</v>
      </c>
      <c r="I153" s="121"/>
      <c r="J153" s="121"/>
      <c r="K153" s="121"/>
      <c r="L153" s="121"/>
    </row>
    <row r="154" spans="1:12" ht="12.75">
      <c r="A154" s="121">
        <f>PSTable_New!A85</f>
        <v>55</v>
      </c>
      <c r="B154" s="121">
        <f>NVTable_RI_ADJ!H91</f>
        <v>0</v>
      </c>
      <c r="C154" s="121">
        <f>PSTable_New!B85</f>
        <v>8.59375</v>
      </c>
      <c r="D154" s="164">
        <f>PSTable_New!D85</f>
        <v>69.36446919478306</v>
      </c>
      <c r="E154" s="121">
        <f>PSTable_New!J85</f>
        <v>5.41</v>
      </c>
      <c r="F154" s="121">
        <f>PSTable_New!K85</f>
        <v>10.98</v>
      </c>
      <c r="G154" s="121">
        <f>PSTable_New!L85</f>
        <v>21.7</v>
      </c>
      <c r="H154" s="121">
        <f>PSTable_New!M85</f>
        <v>1</v>
      </c>
      <c r="I154" s="121"/>
      <c r="J154" s="121"/>
      <c r="K154" s="121"/>
      <c r="L154" s="121"/>
    </row>
    <row r="155" spans="1:12" ht="12.75">
      <c r="A155" s="121">
        <f>PSTable_New!A86</f>
        <v>56</v>
      </c>
      <c r="B155" s="121">
        <f>NVTable_RI_ADJ!H92</f>
        <v>0</v>
      </c>
      <c r="C155" s="121">
        <f>PSTable_New!B86</f>
        <v>8.75</v>
      </c>
      <c r="D155" s="164">
        <f>PSTable_New!D86</f>
        <v>72.95679222734863</v>
      </c>
      <c r="E155" s="121">
        <f>PSTable_New!J86</f>
        <v>5.41</v>
      </c>
      <c r="F155" s="121">
        <f>PSTable_New!K86</f>
        <v>10.98</v>
      </c>
      <c r="G155" s="121">
        <f>PSTable_New!L86</f>
        <v>21.7</v>
      </c>
      <c r="H155" s="121">
        <f>PSTable_New!M86</f>
        <v>1</v>
      </c>
      <c r="I155" s="121"/>
      <c r="J155" s="121"/>
      <c r="K155" s="121"/>
      <c r="L155" s="121"/>
    </row>
    <row r="156" spans="1:12" ht="12.75">
      <c r="A156" s="121">
        <f>PSTable_New!A87</f>
        <v>57</v>
      </c>
      <c r="B156" s="121">
        <f>NVTable_RI_ADJ!H93</f>
        <v>0</v>
      </c>
      <c r="C156" s="121">
        <f>PSTable_New!B87</f>
        <v>8.90625</v>
      </c>
      <c r="D156" s="164">
        <f>PSTable_New!D87</f>
        <v>76.73515841601568</v>
      </c>
      <c r="E156" s="121">
        <f>PSTable_New!J87</f>
        <v>5.4</v>
      </c>
      <c r="F156" s="121">
        <f>PSTable_New!K87</f>
        <v>10.99</v>
      </c>
      <c r="G156" s="121">
        <f>PSTable_New!L87</f>
        <v>21.7</v>
      </c>
      <c r="H156" s="121">
        <f>PSTable_New!M87</f>
        <v>1</v>
      </c>
      <c r="I156" s="121"/>
      <c r="J156" s="121"/>
      <c r="K156" s="121"/>
      <c r="L156" s="121"/>
    </row>
    <row r="157" spans="1:12" ht="12.75">
      <c r="A157" s="121">
        <f>PSTable_New!A88</f>
        <v>58</v>
      </c>
      <c r="B157" s="121">
        <f>NVTable_RI_ADJ!H94</f>
        <v>0</v>
      </c>
      <c r="C157" s="121">
        <f>PSTable_New!B88</f>
        <v>9.0625</v>
      </c>
      <c r="D157" s="164">
        <f>PSTable_New!D88</f>
        <v>80.70920276732967</v>
      </c>
      <c r="E157" s="121">
        <f>PSTable_New!J88</f>
        <v>5.4</v>
      </c>
      <c r="F157" s="121">
        <f>PSTable_New!K88</f>
        <v>10.99</v>
      </c>
      <c r="G157" s="121">
        <f>PSTable_New!L88</f>
        <v>21.7</v>
      </c>
      <c r="H157" s="121">
        <f>PSTable_New!M88</f>
        <v>1</v>
      </c>
      <c r="I157" s="121"/>
      <c r="J157" s="121"/>
      <c r="K157" s="121"/>
      <c r="L157" s="121"/>
    </row>
    <row r="158" spans="1:12" ht="12.75">
      <c r="A158" s="121">
        <f>PSTable_New!A89</f>
        <v>59</v>
      </c>
      <c r="B158" s="121">
        <f>NVTable_RI_ADJ!H95</f>
        <v>0</v>
      </c>
      <c r="C158" s="121">
        <f>PSTable_New!B89</f>
        <v>9.21875</v>
      </c>
      <c r="D158" s="164">
        <f>PSTable_New!D89</f>
        <v>84.88905927609812</v>
      </c>
      <c r="E158" s="121">
        <f>PSTable_New!J89</f>
        <v>5.39</v>
      </c>
      <c r="F158" s="121">
        <f>PSTable_New!K89</f>
        <v>10.99</v>
      </c>
      <c r="G158" s="121">
        <f>PSTable_New!L89</f>
        <v>21.7</v>
      </c>
      <c r="H158" s="121">
        <f>PSTable_New!M89</f>
        <v>1</v>
      </c>
      <c r="I158" s="121"/>
      <c r="J158" s="121"/>
      <c r="K158" s="121"/>
      <c r="L158" s="121"/>
    </row>
    <row r="159" spans="1:12" ht="12.75">
      <c r="A159" s="121">
        <f>PSTable_New!A90</f>
        <v>60</v>
      </c>
      <c r="B159" s="121">
        <f>NVTable_RI_ADJ!H96</f>
        <v>0</v>
      </c>
      <c r="C159" s="121">
        <f>PSTable_New!B90</f>
        <v>9.375</v>
      </c>
      <c r="D159" s="164">
        <f>PSTable_New!D90</f>
        <v>89.28538676754077</v>
      </c>
      <c r="E159" s="121">
        <f>PSTable_New!J90</f>
        <v>5.39</v>
      </c>
      <c r="F159" s="121">
        <f>PSTable_New!K90</f>
        <v>11</v>
      </c>
      <c r="G159" s="121">
        <f>PSTable_New!L90</f>
        <v>21.7</v>
      </c>
      <c r="H159" s="121">
        <f>PSTable_New!M90</f>
        <v>1</v>
      </c>
      <c r="I159" s="121"/>
      <c r="J159" s="121"/>
      <c r="K159" s="121"/>
      <c r="L159" s="121"/>
    </row>
    <row r="160" spans="1:12" ht="12.75">
      <c r="A160" s="121">
        <f>PSTable_New!A91</f>
        <v>61</v>
      </c>
      <c r="B160" s="121">
        <f>NVTable_RI_ADJ!H97</f>
        <v>0</v>
      </c>
      <c r="C160" s="121">
        <f>PSTable_New!B91</f>
        <v>9.53125</v>
      </c>
      <c r="D160" s="164">
        <f>PSTable_New!D91</f>
        <v>93.90939607778121</v>
      </c>
      <c r="E160" s="121">
        <f>PSTable_New!J91</f>
        <v>5.39</v>
      </c>
      <c r="F160" s="121">
        <f>PSTable_New!K91</f>
        <v>11</v>
      </c>
      <c r="G160" s="121">
        <f>PSTable_New!L91</f>
        <v>21.7</v>
      </c>
      <c r="H160" s="121">
        <f>PSTable_New!M91</f>
        <v>1</v>
      </c>
      <c r="I160" s="121"/>
      <c r="J160" s="121"/>
      <c r="K160" s="121"/>
      <c r="L160" s="121"/>
    </row>
    <row r="161" spans="1:12" ht="12.75">
      <c r="A161" s="121">
        <f>PSTable_New!A92</f>
        <v>62</v>
      </c>
      <c r="B161" s="121">
        <f>NVTable_RI_ADJ!H98</f>
        <v>0</v>
      </c>
      <c r="C161" s="121">
        <f>PSTable_New!B92</f>
        <v>9.6875</v>
      </c>
      <c r="D161" s="164">
        <f>PSTable_New!D92</f>
        <v>98.7728786419916</v>
      </c>
      <c r="E161" s="121">
        <f>PSTable_New!J92</f>
        <v>5.38</v>
      </c>
      <c r="F161" s="121">
        <f>PSTable_New!K92</f>
        <v>11</v>
      </c>
      <c r="G161" s="121">
        <f>PSTable_New!L92</f>
        <v>21.7</v>
      </c>
      <c r="H161" s="121">
        <f>PSTable_New!M92</f>
        <v>1</v>
      </c>
      <c r="I161" s="121"/>
      <c r="J161" s="121"/>
      <c r="K161" s="121"/>
      <c r="L161" s="121"/>
    </row>
    <row r="162" spans="1:12" ht="12.75">
      <c r="A162" s="121">
        <f>PSTable_New!A93</f>
        <v>63</v>
      </c>
      <c r="B162" s="121">
        <f>NVTable_RI_ADJ!H99</f>
        <v>0</v>
      </c>
      <c r="C162" s="121">
        <f>PSTable_New!B93</f>
        <v>9.84375</v>
      </c>
      <c r="D162" s="164">
        <f>PSTable_New!D93</f>
        <v>103.8882365630917</v>
      </c>
      <c r="E162" s="121">
        <f>PSTable_New!J93</f>
        <v>5.38</v>
      </c>
      <c r="F162" s="121">
        <f>PSTable_New!K93</f>
        <v>11.01</v>
      </c>
      <c r="G162" s="121">
        <f>PSTable_New!L93</f>
        <v>21.7</v>
      </c>
      <c r="H162" s="121">
        <f>PSTable_New!M93</f>
        <v>1</v>
      </c>
      <c r="I162" s="121"/>
      <c r="J162" s="121"/>
      <c r="K162" s="121"/>
      <c r="L162" s="121"/>
    </row>
    <row r="163" spans="1:12" ht="12.75">
      <c r="A163" s="121">
        <f>PSTable_New!A94</f>
        <v>64</v>
      </c>
      <c r="B163" s="121"/>
      <c r="C163" s="121">
        <f>PSTable_New!B94</f>
        <v>10</v>
      </c>
      <c r="D163" s="164">
        <f>PSTable_New!D94</f>
        <v>109.26851423767792</v>
      </c>
      <c r="E163" s="121">
        <f>PSTable_New!J94</f>
        <v>5.38</v>
      </c>
      <c r="F163" s="121">
        <f>PSTable_New!K94</f>
        <v>11.01</v>
      </c>
      <c r="G163" s="121">
        <f>PSTable_New!L94</f>
        <v>21.7</v>
      </c>
      <c r="H163" s="121">
        <f>PSTable_New!M94</f>
        <v>1</v>
      </c>
      <c r="I163" s="121"/>
      <c r="J163" s="121"/>
      <c r="K163" s="121"/>
      <c r="L163" s="121"/>
    </row>
    <row r="164" spans="1:12" ht="12.75">
      <c r="A164" s="121">
        <f>PSTable_New!A95</f>
        <v>65</v>
      </c>
      <c r="B164" s="121"/>
      <c r="C164" s="121">
        <f>PSTable_New!B95</f>
        <v>10.15625</v>
      </c>
      <c r="D164" s="164">
        <f>PSTable_New!D95</f>
        <v>114.92743161983172</v>
      </c>
      <c r="E164" s="121">
        <f>PSTable_New!J95</f>
        <v>5.37</v>
      </c>
      <c r="F164" s="121">
        <f>PSTable_New!K95</f>
        <v>11.01</v>
      </c>
      <c r="G164" s="121">
        <f>PSTable_New!L95</f>
        <v>21.7</v>
      </c>
      <c r="H164" s="121">
        <f>PSTable_New!M95</f>
        <v>1</v>
      </c>
      <c r="I164" s="121"/>
      <c r="J164" s="121"/>
      <c r="K164" s="121"/>
      <c r="L164" s="121"/>
    </row>
    <row r="165" spans="1:12" ht="12.75">
      <c r="A165" s="121">
        <f>PSTable_New!A96</f>
        <v>66</v>
      </c>
      <c r="B165" s="121"/>
      <c r="C165" s="121">
        <f>PSTable_New!B96</f>
        <v>10.3125</v>
      </c>
      <c r="D165" s="164">
        <f>PSTable_New!D96</f>
        <v>120.87941920762944</v>
      </c>
      <c r="E165" s="121">
        <f>PSTable_New!J96</f>
        <v>5.37</v>
      </c>
      <c r="F165" s="121">
        <f>PSTable_New!K96</f>
        <v>11.02</v>
      </c>
      <c r="G165" s="121">
        <f>PSTable_New!L96</f>
        <v>21.7</v>
      </c>
      <c r="H165" s="121">
        <f>PSTable_New!M96</f>
        <v>1</v>
      </c>
      <c r="I165" s="121"/>
      <c r="J165" s="121"/>
      <c r="K165" s="121"/>
      <c r="L165" s="121"/>
    </row>
    <row r="166" spans="1:12" ht="12.75">
      <c r="A166" s="121">
        <f>PSTable_New!A97</f>
        <v>67</v>
      </c>
      <c r="B166" s="121"/>
      <c r="C166" s="121">
        <f>PSTable_New!B97</f>
        <v>10.46875</v>
      </c>
      <c r="D166" s="164">
        <f>PSTable_New!D97</f>
        <v>127.13965484157237</v>
      </c>
      <c r="E166" s="121">
        <f>PSTable_New!J97</f>
        <v>5.37</v>
      </c>
      <c r="F166" s="121">
        <f>PSTable_New!K97</f>
        <v>11.02</v>
      </c>
      <c r="G166" s="121">
        <f>PSTable_New!L97</f>
        <v>21.7</v>
      </c>
      <c r="H166" s="121">
        <f>PSTable_New!M97</f>
        <v>1</v>
      </c>
      <c r="I166" s="121"/>
      <c r="J166" s="121"/>
      <c r="K166" s="121"/>
      <c r="L166" s="121"/>
    </row>
    <row r="167" spans="1:12" ht="12.75">
      <c r="A167" s="121">
        <f>PSTable_New!A98</f>
        <v>68</v>
      </c>
      <c r="B167" s="121"/>
      <c r="C167" s="121">
        <f>PSTable_New!B98</f>
        <v>10.625</v>
      </c>
      <c r="D167" s="164">
        <f>PSTable_New!D98</f>
        <v>133.72410240877392</v>
      </c>
      <c r="E167" s="121">
        <f>PSTable_New!J98</f>
        <v>5.36</v>
      </c>
      <c r="F167" s="121">
        <f>PSTable_New!K98</f>
        <v>11.02</v>
      </c>
      <c r="G167" s="121">
        <f>PSTable_New!L98</f>
        <v>21.7</v>
      </c>
      <c r="H167" s="121">
        <f>PSTable_New!M98</f>
        <v>1</v>
      </c>
      <c r="I167" s="121"/>
      <c r="J167" s="121"/>
      <c r="K167" s="121"/>
      <c r="L167" s="121"/>
    </row>
    <row r="168" spans="1:12" ht="12.75">
      <c r="A168" s="121">
        <f>PSTable_New!A99</f>
        <v>69</v>
      </c>
      <c r="B168" s="121"/>
      <c r="C168" s="121">
        <f>PSTable_New!B99</f>
        <v>10.78125</v>
      </c>
      <c r="D168" s="164">
        <f>PSTable_New!D99</f>
        <v>140.6495525516019</v>
      </c>
      <c r="E168" s="121">
        <f>PSTable_New!J99</f>
        <v>5.36</v>
      </c>
      <c r="F168" s="121">
        <f>PSTable_New!K99</f>
        <v>11.02</v>
      </c>
      <c r="G168" s="121">
        <f>PSTable_New!L99</f>
        <v>21.7</v>
      </c>
      <c r="H168" s="121">
        <f>PSTable_New!M99</f>
        <v>1</v>
      </c>
      <c r="I168" s="121"/>
      <c r="J168" s="121"/>
      <c r="K168" s="121"/>
      <c r="L168" s="121"/>
    </row>
    <row r="169" spans="1:12" ht="12.75">
      <c r="A169" s="121">
        <f>PSTable_New!A100</f>
        <v>70</v>
      </c>
      <c r="B169" s="121"/>
      <c r="C169" s="121">
        <f>PSTable_New!B100</f>
        <v>10.9375</v>
      </c>
      <c r="D169" s="164">
        <f>PSTable_New!D100</f>
        <v>147.93366548458405</v>
      </c>
      <c r="E169" s="121">
        <f>PSTable_New!J100</f>
        <v>5.36</v>
      </c>
      <c r="F169" s="121">
        <f>PSTable_New!K100</f>
        <v>11.03</v>
      </c>
      <c r="G169" s="121">
        <f>PSTable_New!L100</f>
        <v>21.7</v>
      </c>
      <c r="H169" s="121">
        <f>PSTable_New!M100</f>
        <v>1</v>
      </c>
      <c r="I169" s="121"/>
      <c r="J169" s="121"/>
      <c r="K169" s="121"/>
      <c r="L169" s="121"/>
    </row>
    <row r="170" spans="1:12" ht="12.75">
      <c r="A170" s="121">
        <f>PSTable_New!A101</f>
        <v>71</v>
      </c>
      <c r="B170" s="121"/>
      <c r="C170" s="121">
        <f>PSTable_New!B101</f>
        <v>11.09375</v>
      </c>
      <c r="D170" s="164">
        <f>PSTable_New!D101</f>
        <v>155.5950160287628</v>
      </c>
      <c r="E170" s="121">
        <f>PSTable_New!J101</f>
        <v>5.36</v>
      </c>
      <c r="F170" s="121">
        <f>PSTable_New!K101</f>
        <v>11.03</v>
      </c>
      <c r="G170" s="121">
        <f>PSTable_New!L101</f>
        <v>21.7</v>
      </c>
      <c r="H170" s="121">
        <f>PSTable_New!M101</f>
        <v>1</v>
      </c>
      <c r="I170" s="121"/>
      <c r="J170" s="121"/>
      <c r="K170" s="121"/>
      <c r="L170" s="121"/>
    </row>
    <row r="171" spans="1:12" ht="12.75">
      <c r="A171" s="121">
        <f>PSTable_New!A102</f>
        <v>72</v>
      </c>
      <c r="B171" s="121"/>
      <c r="C171" s="121">
        <f>PSTable_New!B102</f>
        <v>11.25</v>
      </c>
      <c r="D171" s="164">
        <f>PSTable_New!D102</f>
        <v>163.65314097833817</v>
      </c>
      <c r="E171" s="121">
        <f>PSTable_New!J102</f>
        <v>5.35</v>
      </c>
      <c r="F171" s="121">
        <f>PSTable_New!K102</f>
        <v>11.03</v>
      </c>
      <c r="G171" s="121">
        <f>PSTable_New!L102</f>
        <v>21.7</v>
      </c>
      <c r="H171" s="121">
        <f>PSTable_New!M102</f>
        <v>1</v>
      </c>
      <c r="I171" s="121"/>
      <c r="J171" s="121"/>
      <c r="K171" s="121"/>
      <c r="L171" s="121"/>
    </row>
    <row r="172" spans="1:12" ht="12.75">
      <c r="A172" s="121">
        <f>PSTable_New!A103</f>
        <v>73</v>
      </c>
      <c r="B172" s="121"/>
      <c r="C172" s="121">
        <f>PSTable_New!B103</f>
        <v>11.40625</v>
      </c>
      <c r="D172" s="164">
        <f>PSTable_New!D103</f>
        <v>172.12858892038648</v>
      </c>
      <c r="E172" s="121">
        <f>PSTable_New!J103</f>
        <v>5.35</v>
      </c>
      <c r="F172" s="121">
        <f>PSTable_New!K103</f>
        <v>11.03</v>
      </c>
      <c r="G172" s="121">
        <f>PSTable_New!L103</f>
        <v>21.7</v>
      </c>
      <c r="H172" s="121">
        <f>PSTable_New!M103</f>
        <v>1</v>
      </c>
      <c r="I172" s="121"/>
      <c r="J172" s="121"/>
      <c r="K172" s="121"/>
      <c r="L172" s="121"/>
    </row>
    <row r="173" spans="1:12" ht="12.75">
      <c r="A173" s="121">
        <f>PSTable_New!A104</f>
        <v>74</v>
      </c>
      <c r="B173" s="121"/>
      <c r="C173" s="121">
        <f>PSTable_New!B104</f>
        <v>11.5625</v>
      </c>
      <c r="D173" s="164">
        <f>PSTable_New!D104</f>
        <v>181.04297263469638</v>
      </c>
      <c r="E173" s="121">
        <f>PSTable_New!J104</f>
        <v>5.35</v>
      </c>
      <c r="F173" s="121">
        <f>PSTable_New!K104</f>
        <v>11.04</v>
      </c>
      <c r="G173" s="121">
        <f>PSTable_New!L104</f>
        <v>21.7</v>
      </c>
      <c r="H173" s="121">
        <f>PSTable_New!M104</f>
        <v>1</v>
      </c>
      <c r="I173" s="121"/>
      <c r="J173" s="121"/>
      <c r="K173" s="121"/>
      <c r="L173" s="121"/>
    </row>
    <row r="174" spans="1:12" ht="12.75">
      <c r="A174" s="121">
        <f>PSTable_New!A105</f>
        <v>75</v>
      </c>
      <c r="B174" s="121"/>
      <c r="C174" s="121">
        <f>PSTable_New!B105</f>
        <v>11.71875</v>
      </c>
      <c r="D174" s="164">
        <f>PSTable_New!D105</f>
        <v>190.41902420734596</v>
      </c>
      <c r="E174" s="121">
        <f>PSTable_New!J105</f>
        <v>5.35</v>
      </c>
      <c r="F174" s="121">
        <f>PSTable_New!K105</f>
        <v>11.04</v>
      </c>
      <c r="G174" s="121">
        <f>PSTable_New!L105</f>
        <v>21.7</v>
      </c>
      <c r="H174" s="121">
        <f>PSTable_New!M105</f>
        <v>1</v>
      </c>
      <c r="I174" s="121"/>
      <c r="J174" s="121"/>
      <c r="K174" s="121"/>
      <c r="L174" s="121"/>
    </row>
    <row r="175" spans="1:12" ht="12.75">
      <c r="A175" s="121">
        <f>PSTable_New!A106</f>
        <v>76</v>
      </c>
      <c r="B175" s="121"/>
      <c r="C175" s="121">
        <f>PSTable_New!B106</f>
        <v>11.875</v>
      </c>
      <c r="D175" s="164">
        <f>PSTable_New!D106</f>
        <v>200.28065299856226</v>
      </c>
      <c r="E175" s="121">
        <f>PSTable_New!J106</f>
        <v>5.34</v>
      </c>
      <c r="F175" s="121">
        <f>PSTable_New!K106</f>
        <v>11.04</v>
      </c>
      <c r="G175" s="121">
        <f>PSTable_New!L106</f>
        <v>21.7</v>
      </c>
      <c r="H175" s="121">
        <f>PSTable_New!M106</f>
        <v>1</v>
      </c>
      <c r="I175" s="121"/>
      <c r="J175" s="121"/>
      <c r="K175" s="121"/>
      <c r="L175" s="121"/>
    </row>
    <row r="176" spans="1:12" ht="12.75">
      <c r="A176" s="121">
        <f>PSTable_New!A107</f>
        <v>77</v>
      </c>
      <c r="B176" s="121"/>
      <c r="C176" s="121">
        <f>PSTable_New!B107</f>
        <v>12.03125</v>
      </c>
      <c r="D176" s="164">
        <f>PSTable_New!D107</f>
        <v>210.65300661268205</v>
      </c>
      <c r="E176" s="121">
        <f>PSTable_New!J107</f>
        <v>5.34</v>
      </c>
      <c r="F176" s="121">
        <f>PSTable_New!K107</f>
        <v>11.04</v>
      </c>
      <c r="G176" s="121">
        <f>PSTable_New!L107</f>
        <v>21.7</v>
      </c>
      <c r="H176" s="121">
        <f>PSTable_New!M107</f>
        <v>1</v>
      </c>
      <c r="I176" s="121"/>
      <c r="J176" s="121"/>
      <c r="K176" s="121"/>
      <c r="L176" s="121"/>
    </row>
    <row r="177" spans="1:12" ht="12.75">
      <c r="A177" s="121">
        <f>PSTable_New!A108</f>
        <v>78</v>
      </c>
      <c r="B177" s="121"/>
      <c r="C177" s="121">
        <f>PSTable_New!B108</f>
        <v>12.1875</v>
      </c>
      <c r="D177" s="164">
        <f>PSTable_New!D108</f>
        <v>221.56253502569325</v>
      </c>
      <c r="E177" s="121">
        <f>PSTable_New!J108</f>
        <v>5.34</v>
      </c>
      <c r="F177" s="121">
        <f>PSTable_New!K108</f>
        <v>11.04</v>
      </c>
      <c r="G177" s="121">
        <f>PSTable_New!L108</f>
        <v>21.7</v>
      </c>
      <c r="H177" s="121">
        <f>PSTable_New!M108</f>
        <v>1</v>
      </c>
      <c r="I177" s="121"/>
      <c r="J177" s="121"/>
      <c r="K177" s="121"/>
      <c r="L177" s="121"/>
    </row>
    <row r="178" spans="1:12" ht="12.75">
      <c r="A178" s="121">
        <f>PSTable_New!A109</f>
        <v>79</v>
      </c>
      <c r="B178" s="121"/>
      <c r="C178" s="121">
        <f>PSTable_New!B109</f>
        <v>12.34375</v>
      </c>
      <c r="D178" s="164">
        <f>PSTable_New!D109</f>
        <v>233.0370580338831</v>
      </c>
      <c r="E178" s="121">
        <f>PSTable_New!J109</f>
        <v>5.34</v>
      </c>
      <c r="F178" s="121">
        <f>PSTable_New!K109</f>
        <v>11.05</v>
      </c>
      <c r="G178" s="121">
        <f>PSTable_New!L109</f>
        <v>21.7</v>
      </c>
      <c r="H178" s="121">
        <f>PSTable_New!M109</f>
        <v>1</v>
      </c>
      <c r="I178" s="121"/>
      <c r="J178" s="121"/>
      <c r="K178" s="121"/>
      <c r="L178" s="121"/>
    </row>
    <row r="179" spans="1:12" ht="12.75">
      <c r="A179" s="121">
        <f>PSTable_New!A110</f>
        <v>80</v>
      </c>
      <c r="B179" s="121"/>
      <c r="C179" s="121">
        <f>PSTable_New!B110</f>
        <v>12.5</v>
      </c>
      <c r="D179" s="164">
        <f>PSTable_New!D110</f>
        <v>245.1058361955907</v>
      </c>
      <c r="E179" s="121">
        <f>PSTable_New!J110</f>
        <v>5.34</v>
      </c>
      <c r="F179" s="121">
        <f>PSTable_New!K110</f>
        <v>11.05</v>
      </c>
      <c r="G179" s="121">
        <f>PSTable_New!L110</f>
        <v>21.7</v>
      </c>
      <c r="H179" s="121">
        <f>PSTable_New!M110</f>
        <v>1</v>
      </c>
      <c r="I179" s="121"/>
      <c r="J179" s="121"/>
      <c r="K179" s="121"/>
      <c r="L179" s="121"/>
    </row>
    <row r="180" spans="1:12" ht="12.75">
      <c r="A180" s="121">
        <f>PSTable_New!A111</f>
        <v>81</v>
      </c>
      <c r="B180" s="121"/>
      <c r="C180" s="121">
        <f>PSTable_New!B111</f>
        <v>12.65625</v>
      </c>
      <c r="D180" s="164">
        <f>PSTable_New!D111</f>
        <v>257.799645446969</v>
      </c>
      <c r="E180" s="121">
        <f>PSTable_New!J111</f>
        <v>5.33</v>
      </c>
      <c r="F180" s="121">
        <f>PSTable_New!K111</f>
        <v>11.05</v>
      </c>
      <c r="G180" s="121">
        <f>PSTable_New!L111</f>
        <v>21.7</v>
      </c>
      <c r="H180" s="121">
        <f>PSTable_New!M111</f>
        <v>1</v>
      </c>
      <c r="I180" s="121"/>
      <c r="J180" s="121"/>
      <c r="K180" s="121"/>
      <c r="L180" s="121"/>
    </row>
    <row r="181" spans="1:12" ht="12.75">
      <c r="A181" s="121">
        <f>PSTable_New!A112</f>
        <v>82</v>
      </c>
      <c r="B181" s="121"/>
      <c r="C181" s="121">
        <f>PSTable_New!B112</f>
        <v>12.8125</v>
      </c>
      <c r="D181" s="164">
        <f>PSTable_New!D112</f>
        <v>271.15085558202816</v>
      </c>
      <c r="E181" s="121">
        <f>PSTable_New!J112</f>
        <v>5.33</v>
      </c>
      <c r="F181" s="121">
        <f>PSTable_New!K112</f>
        <v>11.05</v>
      </c>
      <c r="G181" s="121">
        <f>PSTable_New!L112</f>
        <v>21.7</v>
      </c>
      <c r="H181" s="121">
        <f>PSTable_New!M112</f>
        <v>1</v>
      </c>
      <c r="I181" s="121"/>
      <c r="J181" s="121"/>
      <c r="K181" s="121"/>
      <c r="L181" s="121"/>
    </row>
    <row r="182" spans="1:12" ht="12.75">
      <c r="A182" s="121">
        <f>PSTable_New!A113</f>
        <v>83</v>
      </c>
      <c r="B182" s="121"/>
      <c r="C182" s="121">
        <f>PSTable_New!B113</f>
        <v>12.96875</v>
      </c>
      <c r="D182" s="164">
        <f>PSTable_New!D113</f>
        <v>285.1935127970918</v>
      </c>
      <c r="E182" s="121">
        <f>PSTable_New!J113</f>
        <v>5.33</v>
      </c>
      <c r="F182" s="121">
        <f>PSTable_New!K113</f>
        <v>11.05</v>
      </c>
      <c r="G182" s="121">
        <f>PSTable_New!L113</f>
        <v>21.7</v>
      </c>
      <c r="H182" s="121">
        <f>PSTable_New!M113</f>
        <v>1</v>
      </c>
      <c r="I182" s="121"/>
      <c r="J182" s="121"/>
      <c r="K182" s="121"/>
      <c r="L182" s="121"/>
    </row>
    <row r="183" spans="1:12" ht="12.75">
      <c r="A183" s="121">
        <f>PSTable_New!A114</f>
        <v>84</v>
      </c>
      <c r="B183" s="121"/>
      <c r="C183" s="121">
        <f>PSTable_New!B114</f>
        <v>13.125</v>
      </c>
      <c r="D183" s="164">
        <f>PSTable_New!D114</f>
        <v>299.96342651015385</v>
      </c>
      <c r="E183" s="121">
        <f>PSTable_New!J114</f>
        <v>5.33</v>
      </c>
      <c r="F183" s="121">
        <f>PSTable_New!K114</f>
        <v>11.06</v>
      </c>
      <c r="G183" s="121">
        <f>PSTable_New!L114</f>
        <v>21.7</v>
      </c>
      <c r="H183" s="121">
        <f>PSTable_New!M114</f>
        <v>1</v>
      </c>
      <c r="I183" s="121"/>
      <c r="J183" s="121"/>
      <c r="K183" s="121"/>
      <c r="L183" s="121"/>
    </row>
    <row r="184" spans="1:12" ht="12.75">
      <c r="A184" s="121">
        <f>PSTable_New!A115</f>
        <v>85</v>
      </c>
      <c r="B184" s="121"/>
      <c r="C184" s="121">
        <f>PSTable_New!B115</f>
        <v>13.28125</v>
      </c>
      <c r="D184" s="164">
        <f>PSTable_New!D115</f>
        <v>315.4982606765305</v>
      </c>
      <c r="E184" s="121">
        <f>PSTable_New!J115</f>
        <v>5.33</v>
      </c>
      <c r="F184" s="121">
        <f>PSTable_New!K115</f>
        <v>11.06</v>
      </c>
      <c r="G184" s="121">
        <f>PSTable_New!L115</f>
        <v>21.7</v>
      </c>
      <c r="H184" s="121">
        <f>PSTable_New!M115</f>
        <v>1</v>
      </c>
      <c r="I184" s="121"/>
      <c r="J184" s="121"/>
      <c r="K184" s="121"/>
      <c r="L184" s="121"/>
    </row>
    <row r="185" spans="1:12" ht="12.75">
      <c r="A185" s="121">
        <f>PSTable_New!A116</f>
        <v>86</v>
      </c>
      <c r="B185" s="121"/>
      <c r="C185" s="121">
        <f>PSTable_New!B116</f>
        <v>13.4375</v>
      </c>
      <c r="D185" s="164">
        <f>PSTable_New!D116</f>
        <v>331.83762983367154</v>
      </c>
      <c r="E185" s="121">
        <f>PSTable_New!J116</f>
        <v>5.32</v>
      </c>
      <c r="F185" s="121">
        <f>PSTable_New!K116</f>
        <v>11.06</v>
      </c>
      <c r="G185" s="121">
        <f>PSTable_New!L116</f>
        <v>21.7</v>
      </c>
      <c r="H185" s="121">
        <f>PSTable_New!M116</f>
        <v>1</v>
      </c>
      <c r="I185" s="121"/>
      <c r="J185" s="121"/>
      <c r="K185" s="121"/>
      <c r="L185" s="121"/>
    </row>
    <row r="186" spans="1:12" ht="12.75">
      <c r="A186" s="121">
        <f>PSTable_New!A117</f>
        <v>87</v>
      </c>
      <c r="B186" s="121"/>
      <c r="C186" s="121">
        <f>PSTable_New!B117</f>
        <v>13.59375</v>
      </c>
      <c r="D186" s="164">
        <f>PSTable_New!D117</f>
        <v>349.023200120038</v>
      </c>
      <c r="E186" s="121">
        <f>PSTable_New!J117</f>
        <v>5.32</v>
      </c>
      <c r="F186" s="121">
        <f>PSTable_New!K117</f>
        <v>11.06</v>
      </c>
      <c r="G186" s="121">
        <f>PSTable_New!L117</f>
        <v>21.7</v>
      </c>
      <c r="H186" s="121">
        <f>PSTable_New!M117</f>
        <v>1</v>
      </c>
      <c r="I186" s="121"/>
      <c r="J186" s="121"/>
      <c r="K186" s="121"/>
      <c r="L186" s="121"/>
    </row>
    <row r="187" spans="1:12" ht="12.75">
      <c r="A187" s="121">
        <f>PSTable_New!A118</f>
        <v>88</v>
      </c>
      <c r="B187" s="121"/>
      <c r="C187" s="121">
        <f>PSTable_New!B118</f>
        <v>13.75</v>
      </c>
      <c r="D187" s="164">
        <f>PSTable_New!D118</f>
        <v>367.098795525665</v>
      </c>
      <c r="E187" s="121">
        <f>PSTable_New!J118</f>
        <v>5.32</v>
      </c>
      <c r="F187" s="121">
        <f>PSTable_New!K118</f>
        <v>11.06</v>
      </c>
      <c r="G187" s="121">
        <f>PSTable_New!L118</f>
        <v>21.7</v>
      </c>
      <c r="H187" s="121">
        <f>PSTable_New!M118</f>
        <v>1</v>
      </c>
      <c r="I187" s="121"/>
      <c r="J187" s="121"/>
      <c r="K187" s="121"/>
      <c r="L187" s="121"/>
    </row>
    <row r="188" spans="1:12" ht="12.75">
      <c r="A188" s="121">
        <f>PSTable_New!A119</f>
        <v>89</v>
      </c>
      <c r="B188" s="121"/>
      <c r="C188" s="121">
        <f>PSTable_New!B119</f>
        <v>13.90625</v>
      </c>
      <c r="D188" s="164">
        <f>PSTable_New!D119</f>
        <v>386.11050964533547</v>
      </c>
      <c r="E188" s="121">
        <f>PSTable_New!J119</f>
        <v>5.32</v>
      </c>
      <c r="F188" s="121">
        <f>PSTable_New!K119</f>
        <v>11.06</v>
      </c>
      <c r="G188" s="121">
        <f>PSTable_New!L119</f>
        <v>21.7</v>
      </c>
      <c r="H188" s="121">
        <f>PSTable_New!M119</f>
        <v>1</v>
      </c>
      <c r="I188" s="121"/>
      <c r="J188" s="121"/>
      <c r="K188" s="121"/>
      <c r="L188" s="121"/>
    </row>
    <row r="189" spans="1:12" ht="12.75">
      <c r="A189" s="121">
        <f>PSTable_New!A120</f>
        <v>90</v>
      </c>
      <c r="B189" s="121"/>
      <c r="C189" s="121">
        <f>PSTable_New!B120</f>
        <v>14.0625</v>
      </c>
      <c r="D189" s="164">
        <f>PSTable_New!D120</f>
        <v>406.1068232193593</v>
      </c>
      <c r="E189" s="121">
        <f>PSTable_New!J120</f>
        <v>5.32</v>
      </c>
      <c r="F189" s="121">
        <f>PSTable_New!K120</f>
        <v>11.07</v>
      </c>
      <c r="G189" s="121">
        <f>PSTable_New!L120</f>
        <v>21.7</v>
      </c>
      <c r="H189" s="121">
        <f>PSTable_New!M120</f>
        <v>1</v>
      </c>
      <c r="I189" s="121"/>
      <c r="J189" s="121"/>
      <c r="K189" s="121"/>
      <c r="L189" s="121"/>
    </row>
    <row r="190" spans="1:12" ht="12.75">
      <c r="A190" s="121">
        <f>PSTable_New!A121</f>
        <v>91</v>
      </c>
      <c r="B190" s="121"/>
      <c r="C190" s="121">
        <f>PSTable_New!B121</f>
        <v>14.21875</v>
      </c>
      <c r="D190" s="164">
        <f>PSTable_New!D121</f>
        <v>427.138727761673</v>
      </c>
      <c r="E190" s="121">
        <f>PSTable_New!J121</f>
        <v>5.32</v>
      </c>
      <c r="F190" s="121">
        <f>PSTable_New!K121</f>
        <v>11.07</v>
      </c>
      <c r="G190" s="121">
        <f>PSTable_New!L121</f>
        <v>21.7</v>
      </c>
      <c r="H190" s="121">
        <f>PSTable_New!M121</f>
        <v>1</v>
      </c>
      <c r="I190" s="121"/>
      <c r="J190" s="121"/>
      <c r="K190" s="121"/>
      <c r="L190" s="121"/>
    </row>
    <row r="191" spans="1:12" ht="12.75">
      <c r="A191" s="121">
        <f>PSTable_New!A122</f>
        <v>92</v>
      </c>
      <c r="B191" s="121"/>
      <c r="C191" s="121">
        <f>PSTable_New!B122</f>
        <v>14.375</v>
      </c>
      <c r="D191" s="164">
        <f>PSTable_New!D122</f>
        <v>449.25985559053544</v>
      </c>
      <c r="E191" s="121">
        <f>PSTable_New!J122</f>
        <v>5.31</v>
      </c>
      <c r="F191" s="121">
        <f>PSTable_New!K122</f>
        <v>11.07</v>
      </c>
      <c r="G191" s="121">
        <f>PSTable_New!L122</f>
        <v>21.7</v>
      </c>
      <c r="H191" s="121">
        <f>PSTable_New!M122</f>
        <v>1</v>
      </c>
      <c r="I191" s="121"/>
      <c r="J191" s="121"/>
      <c r="K191" s="121"/>
      <c r="L191" s="121"/>
    </row>
    <row r="192" spans="1:12" ht="12.75">
      <c r="A192" s="121">
        <f>PSTable_New!A123</f>
        <v>93</v>
      </c>
      <c r="B192" s="121"/>
      <c r="C192" s="121">
        <f>PSTable_New!B123</f>
        <v>14.53125</v>
      </c>
      <c r="D192" s="164">
        <f>PSTable_New!D123</f>
        <v>472.52661659339196</v>
      </c>
      <c r="E192" s="121">
        <f>PSTable_New!J123</f>
        <v>5.31</v>
      </c>
      <c r="F192" s="121">
        <f>PSTable_New!K123</f>
        <v>11.07</v>
      </c>
      <c r="G192" s="121">
        <f>PSTable_New!L123</f>
        <v>21.7</v>
      </c>
      <c r="H192" s="121">
        <f>PSTable_New!M123</f>
        <v>1</v>
      </c>
      <c r="I192" s="121"/>
      <c r="J192" s="121"/>
      <c r="K192" s="121"/>
      <c r="L192" s="121"/>
    </row>
    <row r="193" spans="1:12" ht="12.75">
      <c r="A193" s="121">
        <f>PSTable_New!A124</f>
        <v>94</v>
      </c>
      <c r="B193" s="121"/>
      <c r="C193" s="121">
        <f>PSTable_New!B124</f>
        <v>14.6875</v>
      </c>
      <c r="D193" s="164">
        <f>PSTable_New!D124</f>
        <v>496.9983420746617</v>
      </c>
      <c r="E193" s="121">
        <f>PSTable_New!J124</f>
        <v>5.31</v>
      </c>
      <c r="F193" s="121">
        <f>PSTable_New!K124</f>
        <v>11.07</v>
      </c>
      <c r="G193" s="121">
        <f>PSTable_New!L124</f>
        <v>21.7</v>
      </c>
      <c r="H193" s="121">
        <f>PSTable_New!M124</f>
        <v>1</v>
      </c>
      <c r="I193" s="121"/>
      <c r="J193" s="121"/>
      <c r="K193" s="121"/>
      <c r="L193" s="121"/>
    </row>
    <row r="194" spans="1:12" ht="12.75">
      <c r="A194" s="121">
        <f>PSTable_New!A125</f>
        <v>95</v>
      </c>
      <c r="B194" s="121"/>
      <c r="C194" s="121">
        <f>PSTable_New!B125</f>
        <v>14.84375</v>
      </c>
      <c r="D194" s="164">
        <f>PSTable_New!D125</f>
        <v>522.7374360532831</v>
      </c>
      <c r="E194" s="121">
        <f>PSTable_New!J125</f>
        <v>5.31</v>
      </c>
      <c r="F194" s="121">
        <f>PSTable_New!K125</f>
        <v>11.07</v>
      </c>
      <c r="G194" s="121">
        <f>PSTable_New!L125</f>
        <v>21.7</v>
      </c>
      <c r="H194" s="121">
        <f>PSTable_New!M125</f>
        <v>1</v>
      </c>
      <c r="I194" s="121"/>
      <c r="J194" s="121"/>
      <c r="K194" s="121"/>
      <c r="L194" s="121"/>
    </row>
    <row r="195" spans="1:12" ht="12.75">
      <c r="A195" s="121">
        <f>PSTable_New!A126</f>
        <v>96</v>
      </c>
      <c r="B195" s="121"/>
      <c r="C195" s="121">
        <f>PSTable_New!B126</f>
        <v>15</v>
      </c>
      <c r="D195" s="164">
        <f>PSTable_New!D126</f>
        <v>549.8095343958121</v>
      </c>
      <c r="E195" s="121">
        <f>PSTable_New!J126</f>
        <v>5.31</v>
      </c>
      <c r="F195" s="121">
        <f>PSTable_New!K126</f>
        <v>11.07</v>
      </c>
      <c r="G195" s="121">
        <f>PSTable_New!L126</f>
        <v>21.7</v>
      </c>
      <c r="H195" s="121">
        <f>PSTable_New!M126</f>
        <v>1</v>
      </c>
      <c r="I195" s="121"/>
      <c r="J195" s="121"/>
      <c r="K195" s="121"/>
      <c r="L195" s="121"/>
    </row>
    <row r="196" spans="1:12" ht="12.75">
      <c r="A196" s="121">
        <f>PSTable_New!A127</f>
        <v>97</v>
      </c>
      <c r="B196" s="121"/>
      <c r="C196" s="121">
        <f>PSTable_New!B127</f>
        <v>15.15625</v>
      </c>
      <c r="D196" s="164">
        <f>PSTable_New!D127</f>
        <v>578.2836721908833</v>
      </c>
      <c r="E196" s="121">
        <f>PSTable_New!J127</f>
        <v>5.31</v>
      </c>
      <c r="F196" s="121">
        <f>PSTable_New!K127</f>
        <v>11.08</v>
      </c>
      <c r="G196" s="121">
        <f>PSTable_New!L127</f>
        <v>21.7</v>
      </c>
      <c r="H196" s="121">
        <f>PSTable_New!M127</f>
        <v>1</v>
      </c>
      <c r="I196" s="121"/>
      <c r="J196" s="121"/>
      <c r="K196" s="121"/>
      <c r="L196" s="121"/>
    </row>
    <row r="197" spans="1:12" ht="12.75">
      <c r="A197" s="121">
        <f>PSTable_New!A128</f>
        <v>98</v>
      </c>
      <c r="B197" s="121"/>
      <c r="C197" s="121">
        <f>PSTable_New!B128</f>
        <v>15.3125</v>
      </c>
      <c r="D197" s="164">
        <f>PSTable_New!D128</f>
        <v>608.232459791843</v>
      </c>
      <c r="E197" s="121">
        <f>PSTable_New!J128</f>
        <v>5.31</v>
      </c>
      <c r="F197" s="121">
        <f>PSTable_New!K128</f>
        <v>11.08</v>
      </c>
      <c r="G197" s="121">
        <f>PSTable_New!L128</f>
        <v>21.7</v>
      </c>
      <c r="H197" s="121">
        <f>PSTable_New!M128</f>
        <v>1</v>
      </c>
      <c r="I197" s="121"/>
      <c r="J197" s="121"/>
      <c r="K197" s="121"/>
      <c r="L197" s="121"/>
    </row>
    <row r="198" spans="1:12" ht="12.75">
      <c r="A198" s="121">
        <f>PSTable_New!A129</f>
        <v>99</v>
      </c>
      <c r="B198" s="121"/>
      <c r="C198" s="121">
        <f>PSTable_New!B129</f>
        <v>15.46875</v>
      </c>
      <c r="D198" s="164">
        <f>PSTable_New!D129</f>
        <v>639.7322679764723</v>
      </c>
      <c r="E198" s="121">
        <f>PSTable_New!J129</f>
        <v>5.3</v>
      </c>
      <c r="F198" s="121">
        <f>PSTable_New!K129</f>
        <v>11.08</v>
      </c>
      <c r="G198" s="121">
        <f>PSTable_New!L129</f>
        <v>21.7</v>
      </c>
      <c r="H198" s="121">
        <f>PSTable_New!M129</f>
        <v>1</v>
      </c>
      <c r="I198" s="121"/>
      <c r="J198" s="121"/>
      <c r="K198" s="121"/>
      <c r="L198" s="121"/>
    </row>
    <row r="199" spans="1:12" ht="12.75">
      <c r="A199" s="121">
        <f>PSTable_New!A130</f>
        <v>100</v>
      </c>
      <c r="B199" s="121"/>
      <c r="C199" s="121">
        <f>PSTable_New!B130</f>
        <v>15.625</v>
      </c>
      <c r="D199" s="164">
        <f>PSTable_New!D130</f>
        <v>672.8634226959571</v>
      </c>
      <c r="E199" s="121">
        <f>PSTable_New!J130</f>
        <v>5.3</v>
      </c>
      <c r="F199" s="121">
        <f>PSTable_New!K130</f>
        <v>11.08</v>
      </c>
      <c r="G199" s="121">
        <f>PSTable_New!L130</f>
        <v>21.7</v>
      </c>
      <c r="H199" s="121">
        <f>PSTable_New!M130</f>
        <v>1</v>
      </c>
      <c r="I199" s="121"/>
      <c r="J199" s="121"/>
      <c r="K199" s="121"/>
      <c r="L199" s="121"/>
    </row>
    <row r="200" spans="1:12" ht="12.75">
      <c r="A200" s="121">
        <f>PSTable_New!A131</f>
        <v>101</v>
      </c>
      <c r="B200" s="121"/>
      <c r="C200" s="121">
        <f>PSTable_New!B131</f>
        <v>15.78125</v>
      </c>
      <c r="D200" s="164">
        <f>PSTable_New!D131</f>
        <v>707.7104099097421</v>
      </c>
      <c r="E200" s="121">
        <f>PSTable_New!J131</f>
        <v>5.3</v>
      </c>
      <c r="F200" s="121">
        <f>PSTable_New!K131</f>
        <v>11.08</v>
      </c>
      <c r="G200" s="121">
        <f>PSTable_New!L131</f>
        <v>21.7</v>
      </c>
      <c r="H200" s="121">
        <f>PSTable_New!M131</f>
        <v>1</v>
      </c>
      <c r="I200" s="121"/>
      <c r="J200" s="121"/>
      <c r="K200" s="121"/>
      <c r="L200" s="121"/>
    </row>
    <row r="201" spans="1:12" ht="12.75">
      <c r="A201" s="121">
        <f>PSTable_New!A132</f>
        <v>102</v>
      </c>
      <c r="B201" s="121"/>
      <c r="C201" s="121">
        <f>PSTable_New!B132</f>
        <v>15.9375</v>
      </c>
      <c r="D201" s="164">
        <f>PSTable_New!D132</f>
        <v>744.3620910285886</v>
      </c>
      <c r="E201" s="121">
        <f>PSTable_New!J132</f>
        <v>5.3</v>
      </c>
      <c r="F201" s="121">
        <f>PSTable_New!K132</f>
        <v>11.08</v>
      </c>
      <c r="G201" s="121">
        <f>PSTable_New!L132</f>
        <v>21.7</v>
      </c>
      <c r="H201" s="121">
        <f>PSTable_New!M132</f>
        <v>1</v>
      </c>
      <c r="I201" s="121"/>
      <c r="J201" s="121"/>
      <c r="K201" s="121"/>
      <c r="L201" s="121"/>
    </row>
    <row r="202" spans="1:12" ht="12.75">
      <c r="A202" s="121">
        <f>PSTable_New!A133</f>
        <v>103</v>
      </c>
      <c r="B202" s="121"/>
      <c r="C202" s="121">
        <f>PSTable_New!B133</f>
        <v>16.09375</v>
      </c>
      <c r="D202" s="164">
        <f>PSTable_New!D133</f>
        <v>782.9119295152317</v>
      </c>
      <c r="E202" s="121">
        <f>PSTable_New!J133</f>
        <v>5.3</v>
      </c>
      <c r="F202" s="121">
        <f>PSTable_New!K133</f>
        <v>11.08</v>
      </c>
      <c r="G202" s="121">
        <f>PSTable_New!L133</f>
        <v>21.7</v>
      </c>
      <c r="H202" s="121">
        <f>PSTable_New!M133</f>
        <v>1</v>
      </c>
      <c r="I202" s="121"/>
      <c r="J202" s="121"/>
      <c r="K202" s="121"/>
      <c r="L202" s="121"/>
    </row>
    <row r="203" spans="1:12" ht="12.75">
      <c r="A203" s="121">
        <f>PSTable_New!A134</f>
        <v>104</v>
      </c>
      <c r="B203" s="121"/>
      <c r="C203" s="121">
        <f>PSTable_New!B134</f>
        <v>16.25</v>
      </c>
      <c r="D203" s="164">
        <f>PSTable_New!D134</f>
        <v>823.4582292204921</v>
      </c>
      <c r="E203" s="121">
        <f>PSTable_New!J134</f>
        <v>5.3</v>
      </c>
      <c r="F203" s="121">
        <f>PSTable_New!K134</f>
        <v>11.08</v>
      </c>
      <c r="G203" s="121">
        <f>PSTable_New!L134</f>
        <v>21.7</v>
      </c>
      <c r="H203" s="121">
        <f>PSTable_New!M134</f>
        <v>1</v>
      </c>
      <c r="I203" s="121"/>
      <c r="J203" s="121"/>
      <c r="K203" s="121"/>
      <c r="L203" s="121"/>
    </row>
    <row r="204" spans="1:12" ht="12.75">
      <c r="A204" s="121">
        <f>PSTable_New!A135</f>
        <v>105</v>
      </c>
      <c r="B204" s="121"/>
      <c r="C204" s="121">
        <f>PSTable_New!B135</f>
        <v>16.40625</v>
      </c>
      <c r="D204" s="164">
        <f>PSTable_New!D135</f>
        <v>866.1043850625794</v>
      </c>
      <c r="E204" s="121">
        <f>PSTable_New!J135</f>
        <v>5.3</v>
      </c>
      <c r="F204" s="121">
        <f>PSTable_New!K135</f>
        <v>11.09</v>
      </c>
      <c r="G204" s="121">
        <f>PSTable_New!L135</f>
        <v>21.7</v>
      </c>
      <c r="H204" s="121">
        <f>PSTable_New!M135</f>
        <v>1</v>
      </c>
      <c r="I204" s="121"/>
      <c r="J204" s="121"/>
      <c r="K204" s="121"/>
      <c r="L204" s="121"/>
    </row>
    <row r="205" spans="1:12" ht="12.75">
      <c r="A205" s="121">
        <f>PSTable_New!A136</f>
        <v>106</v>
      </c>
      <c r="B205" s="121"/>
      <c r="C205" s="121">
        <f>PSTable_New!B136</f>
        <v>16.5625</v>
      </c>
      <c r="D205" s="164">
        <f>PSTable_New!D136</f>
        <v>910.9591466888725</v>
      </c>
      <c r="E205" s="121">
        <f>PSTable_New!J136</f>
        <v>5.3</v>
      </c>
      <c r="F205" s="121">
        <f>PSTable_New!K136</f>
        <v>11.09</v>
      </c>
      <c r="G205" s="121">
        <f>PSTable_New!L136</f>
        <v>21.7</v>
      </c>
      <c r="H205" s="121">
        <f>PSTable_New!M136</f>
        <v>1</v>
      </c>
      <c r="I205" s="121"/>
      <c r="J205" s="121"/>
      <c r="K205" s="121"/>
      <c r="L205" s="121"/>
    </row>
    <row r="206" spans="1:12" ht="12.75">
      <c r="A206" s="121">
        <f>PSTable_New!A137</f>
        <v>107</v>
      </c>
      <c r="B206" s="121"/>
      <c r="C206" s="121">
        <f>PSTable_New!B137</f>
        <v>16.71875</v>
      </c>
      <c r="D206" s="164">
        <f>PSTable_New!D137</f>
        <v>958.1368957924847</v>
      </c>
      <c r="E206" s="121">
        <f>PSTable_New!J137</f>
        <v>5.29</v>
      </c>
      <c r="F206" s="121">
        <f>PSTable_New!K137</f>
        <v>11.09</v>
      </c>
      <c r="G206" s="121">
        <f>PSTable_New!L137</f>
        <v>21.7</v>
      </c>
      <c r="H206" s="121">
        <f>PSTable_New!M137</f>
        <v>1</v>
      </c>
      <c r="I206" s="121"/>
      <c r="J206" s="121"/>
      <c r="K206" s="121"/>
      <c r="L206" s="121"/>
    </row>
    <row r="207" spans="1:12" ht="12.75">
      <c r="A207" s="121">
        <f>PSTable_New!A138</f>
        <v>108</v>
      </c>
      <c r="B207" s="121"/>
      <c r="C207" s="121">
        <f>PSTable_New!B138</f>
        <v>16.875</v>
      </c>
      <c r="D207" s="164">
        <f>PSTable_New!D138</f>
        <v>1007.757937790816</v>
      </c>
      <c r="E207" s="121">
        <f>PSTable_New!J138</f>
        <v>5.29</v>
      </c>
      <c r="F207" s="121">
        <f>PSTable_New!K138</f>
        <v>11.09</v>
      </c>
      <c r="G207" s="121">
        <f>PSTable_New!L138</f>
        <v>21.7</v>
      </c>
      <c r="H207" s="121">
        <f>PSTable_New!M138</f>
        <v>1</v>
      </c>
      <c r="I207" s="121"/>
      <c r="J207" s="121"/>
      <c r="K207" s="121"/>
      <c r="L207" s="121"/>
    </row>
    <row r="208" spans="1:12" ht="12.75">
      <c r="A208" s="121">
        <f>PSTable_New!A139</f>
        <v>109</v>
      </c>
      <c r="B208" s="121"/>
      <c r="C208" s="121">
        <f>PSTable_New!B139</f>
        <v>17.03125</v>
      </c>
      <c r="D208" s="164">
        <f>PSTable_New!D139</f>
        <v>1059.9488086098645</v>
      </c>
      <c r="E208" s="121">
        <f>PSTable_New!J139</f>
        <v>5.29</v>
      </c>
      <c r="F208" s="121">
        <f>PSTable_New!K139</f>
        <v>11.09</v>
      </c>
      <c r="G208" s="121">
        <f>PSTable_New!L139</f>
        <v>21.7</v>
      </c>
      <c r="H208" s="121">
        <f>PSTable_New!M139</f>
        <v>1</v>
      </c>
      <c r="I208" s="121"/>
      <c r="J208" s="121"/>
      <c r="K208" s="121"/>
      <c r="L208" s="121"/>
    </row>
    <row r="209" spans="1:12" ht="12.75">
      <c r="A209" s="121">
        <f>PSTable_New!A140</f>
        <v>110</v>
      </c>
      <c r="B209" s="121"/>
      <c r="C209" s="121">
        <f>PSTable_New!B140</f>
        <v>17.1875</v>
      </c>
      <c r="D209" s="164">
        <f>PSTable_New!D140</f>
        <v>1114.842597356625</v>
      </c>
      <c r="E209" s="121">
        <f>PSTable_New!J140</f>
        <v>5.29</v>
      </c>
      <c r="F209" s="121">
        <f>PSTable_New!K140</f>
        <v>11.09</v>
      </c>
      <c r="G209" s="121">
        <f>PSTable_New!L140</f>
        <v>21.7</v>
      </c>
      <c r="H209" s="121">
        <f>PSTable_New!M140</f>
        <v>1</v>
      </c>
      <c r="I209" s="121"/>
      <c r="J209" s="121"/>
      <c r="K209" s="121"/>
      <c r="L209" s="121"/>
    </row>
    <row r="210" spans="1:12" ht="12.75">
      <c r="A210" s="121">
        <f>PSTable_New!A141</f>
        <v>111</v>
      </c>
      <c r="B210" s="121"/>
      <c r="C210" s="121">
        <f>PSTable_New!B141</f>
        <v>17.34375</v>
      </c>
      <c r="D210" s="164">
        <f>PSTable_New!D141</f>
        <v>1172.5792857024028</v>
      </c>
      <c r="E210" s="121">
        <f>PSTable_New!J141</f>
        <v>5.29</v>
      </c>
      <c r="F210" s="121">
        <f>PSTable_New!K141</f>
        <v>11.09</v>
      </c>
      <c r="G210" s="121">
        <f>PSTable_New!L141</f>
        <v>21.7</v>
      </c>
      <c r="H210" s="121">
        <f>PSTable_New!M141</f>
        <v>1</v>
      </c>
      <c r="I210" s="121"/>
      <c r="J210" s="121"/>
      <c r="K210" s="121"/>
      <c r="L210" s="121"/>
    </row>
    <row r="211" spans="1:12" ht="12.75">
      <c r="A211" s="121">
        <f>PSTable_New!A142</f>
        <v>112</v>
      </c>
      <c r="B211" s="121"/>
      <c r="C211" s="121">
        <f>PSTable_New!B142</f>
        <v>17.5</v>
      </c>
      <c r="D211" s="164">
        <f>PSTable_New!D142</f>
        <v>1233.3061048424643</v>
      </c>
      <c r="E211" s="121">
        <f>PSTable_New!J142</f>
        <v>5.29</v>
      </c>
      <c r="F211" s="121">
        <f>PSTable_New!K142</f>
        <v>11.09</v>
      </c>
      <c r="G211" s="121">
        <f>PSTable_New!L142</f>
        <v>21.7</v>
      </c>
      <c r="H211" s="121">
        <f>PSTable_New!M142</f>
        <v>1</v>
      </c>
      <c r="I211" s="121"/>
      <c r="J211" s="121"/>
      <c r="K211" s="121"/>
      <c r="L211" s="121"/>
    </row>
    <row r="212" spans="1:12" ht="12.75">
      <c r="A212" s="121">
        <f>PSTable_New!A143</f>
        <v>113</v>
      </c>
      <c r="B212" s="121"/>
      <c r="C212" s="121">
        <f>PSTable_New!B143</f>
        <v>17.65625</v>
      </c>
      <c r="D212" s="164">
        <f>PSTable_New!D143</f>
        <v>1297.1779109423314</v>
      </c>
      <c r="E212" s="121">
        <f>PSTable_New!J143</f>
        <v>5.29</v>
      </c>
      <c r="F212" s="121">
        <f>PSTable_New!K143</f>
        <v>11.09</v>
      </c>
      <c r="G212" s="121">
        <f>PSTable_New!L143</f>
        <v>21.7</v>
      </c>
      <c r="H212" s="121">
        <f>PSTable_New!M143</f>
        <v>1</v>
      </c>
      <c r="I212" s="121"/>
      <c r="J212" s="121"/>
      <c r="K212" s="121"/>
      <c r="L212" s="121"/>
    </row>
    <row r="213" spans="1:12" ht="12.75">
      <c r="A213" s="121">
        <f>PSTable_New!A144</f>
        <v>114</v>
      </c>
      <c r="B213" s="121"/>
      <c r="C213" s="121">
        <f>PSTable_New!B144</f>
        <v>17.8125</v>
      </c>
      <c r="D213" s="164">
        <f>PSTable_New!D144</f>
        <v>1364.35758002807</v>
      </c>
      <c r="E213" s="121">
        <f>PSTable_New!J144</f>
        <v>5.29</v>
      </c>
      <c r="F213" s="121">
        <f>PSTable_New!K144</f>
        <v>11.09</v>
      </c>
      <c r="G213" s="121">
        <f>PSTable_New!L144</f>
        <v>21.7</v>
      </c>
      <c r="H213" s="121">
        <f>PSTable_New!M144</f>
        <v>1</v>
      </c>
      <c r="I213" s="121"/>
      <c r="J213" s="121"/>
      <c r="K213" s="121"/>
      <c r="L213" s="121"/>
    </row>
    <row r="214" spans="1:12" ht="12.75">
      <c r="A214" s="121">
        <f>PSTable_New!A145</f>
        <v>115</v>
      </c>
      <c r="B214" s="121"/>
      <c r="C214" s="121">
        <f>PSTable_New!B145</f>
        <v>17.96875</v>
      </c>
      <c r="D214" s="164">
        <f>PSTable_New!D145</f>
        <v>1435.0164233276132</v>
      </c>
      <c r="E214" s="121">
        <f>PSTable_New!J145</f>
        <v>5.29</v>
      </c>
      <c r="F214" s="121">
        <f>PSTable_New!K145</f>
        <v>11.1</v>
      </c>
      <c r="G214" s="121">
        <f>PSTable_New!L145</f>
        <v>21.7</v>
      </c>
      <c r="H214" s="121">
        <f>PSTable_New!M145</f>
        <v>1</v>
      </c>
      <c r="I214" s="121"/>
      <c r="J214" s="121"/>
      <c r="K214" s="121"/>
      <c r="L214" s="121"/>
    </row>
    <row r="215" spans="1:12" ht="12.75">
      <c r="A215" s="121">
        <f>PSTable_New!A146</f>
        <v>116</v>
      </c>
      <c r="B215" s="121"/>
      <c r="C215" s="121">
        <f>PSTable_New!B146</f>
        <v>18.125</v>
      </c>
      <c r="D215" s="164">
        <f>PSTable_New!D146</f>
        <v>1509.3346241222266</v>
      </c>
      <c r="E215" s="121">
        <f>PSTable_New!J146</f>
        <v>5.29</v>
      </c>
      <c r="F215" s="121">
        <f>PSTable_New!K146</f>
        <v>11.1</v>
      </c>
      <c r="G215" s="121">
        <f>PSTable_New!L146</f>
        <v>21.7</v>
      </c>
      <c r="H215" s="121">
        <f>PSTable_New!M146</f>
        <v>1</v>
      </c>
      <c r="I215" s="121"/>
      <c r="J215" s="121"/>
      <c r="K215" s="121"/>
      <c r="L215" s="121"/>
    </row>
    <row r="216" spans="1:12" ht="12.75">
      <c r="A216" s="121">
        <f>PSTable_New!A147</f>
        <v>117</v>
      </c>
      <c r="B216" s="121"/>
      <c r="C216" s="121">
        <f>PSTable_New!B147</f>
        <v>18.28125</v>
      </c>
      <c r="D216" s="164">
        <f>PSTable_New!D147</f>
        <v>1587.5016972221065</v>
      </c>
      <c r="E216" s="121">
        <f>PSTable_New!J147</f>
        <v>5.28</v>
      </c>
      <c r="F216" s="121">
        <f>PSTable_New!K147</f>
        <v>11.1</v>
      </c>
      <c r="G216" s="121">
        <f>PSTable_New!L147</f>
        <v>21.7</v>
      </c>
      <c r="H216" s="121">
        <f>PSTable_New!M147</f>
        <v>1</v>
      </c>
      <c r="I216" s="121"/>
      <c r="J216" s="121"/>
      <c r="K216" s="121"/>
      <c r="L216" s="121"/>
    </row>
    <row r="217" spans="1:12" ht="12.75">
      <c r="A217" s="121">
        <f>PSTable_New!A148</f>
        <v>118</v>
      </c>
      <c r="B217" s="121"/>
      <c r="C217" s="121">
        <f>PSTable_New!B148</f>
        <v>18.4375</v>
      </c>
      <c r="D217" s="164">
        <f>PSTable_New!D148</f>
        <v>1669.7169722378192</v>
      </c>
      <c r="E217" s="121">
        <f>PSTable_New!J148</f>
        <v>5.28</v>
      </c>
      <c r="F217" s="121">
        <f>PSTable_New!K148</f>
        <v>11.1</v>
      </c>
      <c r="G217" s="121">
        <f>PSTable_New!L148</f>
        <v>21.7</v>
      </c>
      <c r="H217" s="121">
        <f>PSTable_New!M148</f>
        <v>1</v>
      </c>
      <c r="I217" s="121"/>
      <c r="J217" s="121"/>
      <c r="K217" s="121"/>
      <c r="L217" s="121"/>
    </row>
    <row r="218" spans="1:12" ht="12.75">
      <c r="A218" s="121">
        <f>PSTable_New!A149</f>
        <v>119</v>
      </c>
      <c r="B218" s="121"/>
      <c r="C218" s="121">
        <f>PSTable_New!B149</f>
        <v>18.59375</v>
      </c>
      <c r="D218" s="164">
        <f>PSTable_New!D149</f>
        <v>1756.1901018799156</v>
      </c>
      <c r="E218" s="121">
        <f>PSTable_New!J149</f>
        <v>5.28</v>
      </c>
      <c r="F218" s="121">
        <f>PSTable_New!K149</f>
        <v>11.1</v>
      </c>
      <c r="G218" s="121">
        <f>PSTable_New!L149</f>
        <v>21.7</v>
      </c>
      <c r="H218" s="121">
        <f>PSTable_New!M149</f>
        <v>1</v>
      </c>
      <c r="I218" s="121"/>
      <c r="J218" s="121"/>
      <c r="K218" s="121"/>
      <c r="L218" s="121"/>
    </row>
    <row r="219" spans="1:12" ht="12.75">
      <c r="A219" s="121">
        <f>PSTable_New!A150</f>
        <v>120</v>
      </c>
      <c r="B219" s="121"/>
      <c r="C219" s="121">
        <f>PSTable_New!B150</f>
        <v>18.75</v>
      </c>
      <c r="D219" s="164">
        <f>PSTable_New!D150</f>
        <v>1847.1415965829326</v>
      </c>
      <c r="E219" s="121">
        <f>PSTable_New!J150</f>
        <v>5.28</v>
      </c>
      <c r="F219" s="121">
        <f>PSTable_New!K150</f>
        <v>11.1</v>
      </c>
      <c r="G219" s="121">
        <f>PSTable_New!L150</f>
        <v>21.7</v>
      </c>
      <c r="H219" s="121">
        <f>PSTable_New!M150</f>
        <v>1</v>
      </c>
      <c r="I219" s="121"/>
      <c r="J219" s="121"/>
      <c r="K219" s="121"/>
      <c r="L219" s="121"/>
    </row>
    <row r="220" spans="1:12" ht="12.75">
      <c r="A220" s="121">
        <f>PSTable_New!A151</f>
        <v>121</v>
      </c>
      <c r="B220" s="121"/>
      <c r="C220" s="121">
        <f>PSTable_New!B151</f>
        <v>18.90625</v>
      </c>
      <c r="D220" s="164">
        <f>PSTable_New!D151</f>
        <v>1942.8033868170871</v>
      </c>
      <c r="E220" s="121">
        <f>PSTable_New!J151</f>
        <v>5.28</v>
      </c>
      <c r="F220" s="121">
        <f>PSTable_New!K151</f>
        <v>11.1</v>
      </c>
      <c r="G220" s="121">
        <f>PSTable_New!L151</f>
        <v>21.7</v>
      </c>
      <c r="H220" s="121">
        <f>PSTable_New!M151</f>
        <v>1</v>
      </c>
      <c r="I220" s="121"/>
      <c r="J220" s="121"/>
      <c r="K220" s="121"/>
      <c r="L220" s="121"/>
    </row>
    <row r="221" spans="1:12" ht="12.75">
      <c r="A221" s="121">
        <f>PSTable_New!A152</f>
        <v>122</v>
      </c>
      <c r="B221" s="121"/>
      <c r="C221" s="121">
        <f>PSTable_New!B152</f>
        <v>19.0625</v>
      </c>
      <c r="D221" s="164">
        <f>PSTable_New!D152</f>
        <v>2043.4194145215756</v>
      </c>
      <c r="E221" s="121">
        <f>PSTable_New!J152</f>
        <v>5.28</v>
      </c>
      <c r="F221" s="121">
        <f>PSTable_New!K152</f>
        <v>11.1</v>
      </c>
      <c r="G221" s="121">
        <f>PSTable_New!L152</f>
        <v>21.7</v>
      </c>
      <c r="H221" s="121">
        <f>PSTable_New!M152</f>
        <v>1</v>
      </c>
      <c r="I221" s="121"/>
      <c r="J221" s="121"/>
      <c r="K221" s="121"/>
      <c r="L221" s="121"/>
    </row>
    <row r="222" spans="1:12" ht="12.75">
      <c r="A222" s="121">
        <f>PSTable_New!A153</f>
        <v>123</v>
      </c>
      <c r="B222" s="121"/>
      <c r="C222" s="121">
        <f>PSTable_New!B153</f>
        <v>19.21875</v>
      </c>
      <c r="D222" s="164">
        <f>PSTable_New!D153</f>
        <v>2149.246255167674</v>
      </c>
      <c r="E222" s="121">
        <f>PSTable_New!J153</f>
        <v>5.28</v>
      </c>
      <c r="F222" s="121">
        <f>PSTable_New!K153</f>
        <v>11.1</v>
      </c>
      <c r="G222" s="121">
        <f>PSTable_New!L153</f>
        <v>21.7</v>
      </c>
      <c r="H222" s="121">
        <f>PSTable_New!M153</f>
        <v>1</v>
      </c>
      <c r="I222" s="121"/>
      <c r="J222" s="121"/>
      <c r="K222" s="121"/>
      <c r="L222" s="121"/>
    </row>
    <row r="223" spans="1:12" ht="12.75">
      <c r="A223" s="121">
        <f>PSTable_New!A154</f>
        <v>124</v>
      </c>
      <c r="B223" s="121"/>
      <c r="C223" s="121">
        <f>PSTable_New!B154</f>
        <v>19.375</v>
      </c>
      <c r="D223" s="164">
        <f>PSTable_New!D154</f>
        <v>2260.55377203792</v>
      </c>
      <c r="E223" s="121">
        <f>PSTable_New!J154</f>
        <v>5.28</v>
      </c>
      <c r="F223" s="121">
        <f>PSTable_New!K154</f>
        <v>11.1</v>
      </c>
      <c r="G223" s="121">
        <f>PSTable_New!L154</f>
        <v>21.7</v>
      </c>
      <c r="H223" s="121">
        <f>PSTable_New!M154</f>
        <v>1</v>
      </c>
      <c r="I223" s="121"/>
      <c r="J223" s="121"/>
      <c r="K223" s="121"/>
      <c r="L223" s="121"/>
    </row>
    <row r="224" spans="1:12" ht="12.75">
      <c r="A224" s="121">
        <f>PSTable_New!A155</f>
        <v>125</v>
      </c>
      <c r="B224" s="121"/>
      <c r="C224" s="121">
        <f>PSTable_New!B155</f>
        <v>19.53125</v>
      </c>
      <c r="D224" s="164">
        <f>PSTable_New!D155</f>
        <v>2377.625804389832</v>
      </c>
      <c r="E224" s="121">
        <f>PSTable_New!J155</f>
        <v>5.28</v>
      </c>
      <c r="F224" s="121">
        <f>PSTable_New!K155</f>
        <v>11.1</v>
      </c>
      <c r="G224" s="121">
        <f>PSTable_New!L155</f>
        <v>21.7</v>
      </c>
      <c r="H224" s="121">
        <f>PSTable_New!M155</f>
        <v>1</v>
      </c>
      <c r="I224" s="121"/>
      <c r="J224" s="121"/>
      <c r="K224" s="121"/>
      <c r="L224" s="121"/>
    </row>
    <row r="225" spans="1:12" ht="12.75">
      <c r="A225" s="121">
        <f>PSTable_New!A156</f>
        <v>126</v>
      </c>
      <c r="B225" s="121"/>
      <c r="C225" s="121">
        <f>PSTable_New!B156</f>
        <v>19.6875</v>
      </c>
      <c r="D225" s="164">
        <f>PSTable_New!D156</f>
        <v>2500.7608912589803</v>
      </c>
      <c r="E225" s="121">
        <f>PSTable_New!J156</f>
        <v>5.28</v>
      </c>
      <c r="F225" s="121">
        <f>PSTable_New!K156</f>
        <v>11.11</v>
      </c>
      <c r="G225" s="121">
        <f>PSTable_New!L156</f>
        <v>21.7</v>
      </c>
      <c r="H225" s="121">
        <f>PSTable_New!M156</f>
        <v>1</v>
      </c>
      <c r="I225" s="121"/>
      <c r="J225" s="121"/>
      <c r="K225" s="121"/>
      <c r="L225" s="121"/>
    </row>
    <row r="226" spans="1:12" ht="12.75">
      <c r="A226" s="121">
        <f>PSTable_New!A157</f>
        <v>127</v>
      </c>
      <c r="B226" s="121"/>
      <c r="C226" s="121">
        <f>PSTable_New!B157</f>
        <v>19.84375</v>
      </c>
      <c r="D226" s="164">
        <f>PSTable_New!D157</f>
        <v>2630.2730327471836</v>
      </c>
      <c r="E226" s="121">
        <f>PSTable_New!J157</f>
        <v>5.28</v>
      </c>
      <c r="F226" s="121">
        <f>PSTable_New!K157</f>
        <v>11.11</v>
      </c>
      <c r="G226" s="121">
        <f>PSTable_New!L157</f>
        <v>21.7</v>
      </c>
      <c r="H226" s="121">
        <f>PSTable_New!M157</f>
        <v>1</v>
      </c>
      <c r="I226" s="121"/>
      <c r="J226" s="121"/>
      <c r="K226" s="121"/>
      <c r="L226" s="121"/>
    </row>
    <row r="227" spans="1:12" ht="12.75">
      <c r="A227" s="121">
        <f>PSTable_New!A158</f>
        <v>128</v>
      </c>
      <c r="B227" s="121"/>
      <c r="C227" s="121">
        <f>PSTable_New!B158</f>
        <v>20</v>
      </c>
      <c r="D227" s="164">
        <f>PSTable_New!D158</f>
        <v>2766.492490737134</v>
      </c>
      <c r="E227" s="121">
        <f>PSTable_New!J158</f>
        <v>5.27</v>
      </c>
      <c r="F227" s="121">
        <f>PSTable_New!K158</f>
        <v>11.11</v>
      </c>
      <c r="G227" s="121">
        <f>PSTable_New!L158</f>
        <v>21.7</v>
      </c>
      <c r="H227" s="121">
        <f>PSTable_New!M158</f>
        <v>0</v>
      </c>
      <c r="I227" s="121"/>
      <c r="J227" s="121"/>
      <c r="K227" s="121"/>
      <c r="L227" s="121"/>
    </row>
    <row r="228" spans="5:9" ht="12.75">
      <c r="E228" s="4"/>
      <c r="F228" s="4"/>
      <c r="H228"/>
      <c r="I228"/>
    </row>
    <row r="229" spans="8:9" ht="12.75">
      <c r="H229"/>
      <c r="I229"/>
    </row>
    <row r="230" spans="8:9" ht="12.75">
      <c r="H230"/>
      <c r="I230"/>
    </row>
    <row r="231" spans="8:9" ht="12.75">
      <c r="H231"/>
      <c r="I231"/>
    </row>
    <row r="232" spans="8:9" ht="12.75">
      <c r="H232"/>
      <c r="I232"/>
    </row>
    <row r="233" spans="8:9" ht="12.75">
      <c r="H233"/>
      <c r="I233"/>
    </row>
    <row r="234" spans="8:9" ht="12.75">
      <c r="H234"/>
      <c r="I234"/>
    </row>
    <row r="235" spans="8:9" ht="12.75">
      <c r="H235"/>
      <c r="I235"/>
    </row>
    <row r="236" spans="8:9" ht="12.75">
      <c r="H236"/>
      <c r="I236"/>
    </row>
    <row r="237" spans="8:9" ht="12.75">
      <c r="H237"/>
      <c r="I237"/>
    </row>
    <row r="238" spans="8:9" ht="12.75">
      <c r="H238"/>
      <c r="I238"/>
    </row>
    <row r="239" spans="8:9" ht="12.75">
      <c r="H239"/>
      <c r="I239"/>
    </row>
    <row r="240" spans="8:9" ht="12.75">
      <c r="H240"/>
      <c r="I240"/>
    </row>
    <row r="241" spans="8:9" ht="12.75">
      <c r="H241"/>
      <c r="I241"/>
    </row>
    <row r="242" spans="8:9" ht="12.75">
      <c r="H242"/>
      <c r="I242"/>
    </row>
    <row r="243" spans="8:9" ht="12.75">
      <c r="H243"/>
      <c r="I243"/>
    </row>
    <row r="244" spans="8:9" ht="12.75">
      <c r="H244"/>
      <c r="I244"/>
    </row>
    <row r="245" spans="8:9" ht="12.75">
      <c r="H245"/>
      <c r="I245"/>
    </row>
    <row r="246" spans="8:9" ht="12.75">
      <c r="H246"/>
      <c r="I246"/>
    </row>
    <row r="247" spans="8:9" ht="12.75">
      <c r="H247"/>
      <c r="I247"/>
    </row>
    <row r="248" spans="8:9" ht="12.75">
      <c r="H248"/>
      <c r="I248"/>
    </row>
    <row r="249" spans="8:9" ht="12.75">
      <c r="H249"/>
      <c r="I249"/>
    </row>
    <row r="250" spans="8:9" ht="12.75">
      <c r="H250"/>
      <c r="I250"/>
    </row>
    <row r="251" spans="8:9" ht="12.75">
      <c r="H251"/>
      <c r="I251"/>
    </row>
    <row r="252" spans="8:9" ht="12.75">
      <c r="H252"/>
      <c r="I252"/>
    </row>
    <row r="253" spans="8:9" ht="12.75">
      <c r="H253"/>
      <c r="I253"/>
    </row>
    <row r="254" spans="8:9" ht="12.75">
      <c r="H254"/>
      <c r="I254"/>
    </row>
    <row r="255" spans="8:9" ht="12.75">
      <c r="H255"/>
      <c r="I255"/>
    </row>
    <row r="256" spans="8:9" ht="12.75">
      <c r="H256"/>
      <c r="I256"/>
    </row>
    <row r="257" spans="8:9" ht="12.75">
      <c r="H257"/>
      <c r="I257"/>
    </row>
    <row r="258" spans="8:9" ht="12.75">
      <c r="H258"/>
      <c r="I258"/>
    </row>
    <row r="259" spans="8:9" ht="12.75">
      <c r="H259"/>
      <c r="I259"/>
    </row>
    <row r="260" spans="8:9" ht="12.75">
      <c r="H260"/>
      <c r="I260"/>
    </row>
    <row r="261" spans="8:9" ht="12.75">
      <c r="H261"/>
      <c r="I261"/>
    </row>
    <row r="262" spans="8:9" ht="12.75">
      <c r="H262"/>
      <c r="I262"/>
    </row>
    <row r="263" spans="8:9" ht="12.75">
      <c r="H263"/>
      <c r="I263"/>
    </row>
    <row r="264" spans="8:9" ht="12.75">
      <c r="H264"/>
      <c r="I264"/>
    </row>
    <row r="265" spans="8:9" ht="12.75">
      <c r="H265"/>
      <c r="I265"/>
    </row>
    <row r="266" spans="8:9" ht="12.75">
      <c r="H266"/>
      <c r="I266"/>
    </row>
    <row r="267" spans="8:9" ht="12.75">
      <c r="H267"/>
      <c r="I267"/>
    </row>
    <row r="268" spans="8:9" ht="12.75">
      <c r="H268"/>
      <c r="I268"/>
    </row>
    <row r="269" spans="8:9" ht="12.75">
      <c r="H269"/>
      <c r="I269"/>
    </row>
    <row r="270" spans="8:9" ht="12.75">
      <c r="H270"/>
      <c r="I270"/>
    </row>
    <row r="271" spans="8:9" ht="12.75">
      <c r="H271"/>
      <c r="I271"/>
    </row>
    <row r="272" spans="8:9" ht="12.75">
      <c r="H272"/>
      <c r="I272"/>
    </row>
    <row r="273" spans="8:9" ht="12.75">
      <c r="H273"/>
      <c r="I273"/>
    </row>
    <row r="274" spans="8:9" ht="12.75">
      <c r="H274"/>
      <c r="I274"/>
    </row>
    <row r="275" spans="8:9" ht="12.75">
      <c r="H275"/>
      <c r="I275"/>
    </row>
    <row r="276" spans="8:9" ht="12.75">
      <c r="H276"/>
      <c r="I276"/>
    </row>
    <row r="277" spans="8:9" ht="12.75">
      <c r="H277"/>
      <c r="I277"/>
    </row>
    <row r="278" spans="8:9" ht="12.75">
      <c r="H278"/>
      <c r="I278"/>
    </row>
    <row r="279" spans="8:9" ht="12.75">
      <c r="H279"/>
      <c r="I279"/>
    </row>
    <row r="280" spans="8:9" ht="12.75">
      <c r="H280"/>
      <c r="I280"/>
    </row>
    <row r="281" spans="8:9" ht="12.75">
      <c r="H281"/>
      <c r="I281"/>
    </row>
    <row r="282" spans="8:9" ht="12.75">
      <c r="H282"/>
      <c r="I282"/>
    </row>
    <row r="283" spans="8:9" ht="12.75">
      <c r="H283"/>
      <c r="I283"/>
    </row>
    <row r="284" spans="8:9" ht="12.75">
      <c r="H284"/>
      <c r="I284"/>
    </row>
    <row r="285" spans="8:9" ht="12.75">
      <c r="H285"/>
      <c r="I285"/>
    </row>
    <row r="286" spans="8:9" ht="12.75">
      <c r="H286"/>
      <c r="I286"/>
    </row>
    <row r="287" spans="8:9" ht="12.75">
      <c r="H287"/>
      <c r="I287"/>
    </row>
    <row r="288" spans="8:9" ht="12.75">
      <c r="H288"/>
      <c r="I288"/>
    </row>
    <row r="289" spans="8:9" ht="12.75">
      <c r="H289"/>
      <c r="I289"/>
    </row>
    <row r="290" spans="8:9" ht="12.75">
      <c r="H290"/>
      <c r="I290"/>
    </row>
    <row r="291" spans="8:9" ht="12.75">
      <c r="H291"/>
      <c r="I291"/>
    </row>
    <row r="292" spans="8:9" ht="12.75">
      <c r="H292"/>
      <c r="I292"/>
    </row>
    <row r="293" spans="8:9" ht="12.75">
      <c r="H293"/>
      <c r="I293"/>
    </row>
    <row r="294" spans="8:9" ht="12.75">
      <c r="H294"/>
      <c r="I294"/>
    </row>
    <row r="295" spans="8:9" ht="12.75">
      <c r="H295"/>
      <c r="I295"/>
    </row>
    <row r="296" spans="8:9" ht="12.75">
      <c r="H296"/>
      <c r="I296"/>
    </row>
    <row r="297" spans="8:9" ht="12.75">
      <c r="H297"/>
      <c r="I297"/>
    </row>
    <row r="298" spans="8:9" ht="12.75">
      <c r="H298"/>
      <c r="I298"/>
    </row>
    <row r="299" spans="8:9" ht="12.75">
      <c r="H299"/>
      <c r="I299"/>
    </row>
    <row r="300" spans="8:9" ht="12.75">
      <c r="H300"/>
      <c r="I300"/>
    </row>
    <row r="301" spans="8:9" ht="12.75">
      <c r="H301"/>
      <c r="I301"/>
    </row>
    <row r="302" spans="8:9" ht="12.75">
      <c r="H302"/>
      <c r="I302"/>
    </row>
    <row r="303" spans="8:9" ht="12.75">
      <c r="H303"/>
      <c r="I303"/>
    </row>
    <row r="304" spans="8:9" ht="12.75">
      <c r="H304"/>
      <c r="I304"/>
    </row>
    <row r="305" spans="8:9" ht="12.75">
      <c r="H305"/>
      <c r="I305"/>
    </row>
    <row r="306" spans="8:9" ht="12.75">
      <c r="H306"/>
      <c r="I306"/>
    </row>
    <row r="307" spans="8:9" ht="12.75">
      <c r="H307"/>
      <c r="I307"/>
    </row>
    <row r="308" spans="8:9" ht="12.75">
      <c r="H308"/>
      <c r="I308"/>
    </row>
    <row r="309" spans="8:9" ht="12.75">
      <c r="H309"/>
      <c r="I309"/>
    </row>
    <row r="310" spans="8:9" ht="12.75">
      <c r="H310"/>
      <c r="I310"/>
    </row>
    <row r="311" spans="8:9" ht="12.75">
      <c r="H311"/>
      <c r="I311"/>
    </row>
    <row r="312" spans="8:9" ht="12.75">
      <c r="H312"/>
      <c r="I312"/>
    </row>
    <row r="313" spans="8:9" ht="12.75">
      <c r="H313"/>
      <c r="I313"/>
    </row>
    <row r="314" spans="8:9" ht="12.75">
      <c r="H314"/>
      <c r="I314"/>
    </row>
    <row r="315" spans="8:9" ht="12.75">
      <c r="H315"/>
      <c r="I315"/>
    </row>
    <row r="316" spans="8:9" ht="12.75">
      <c r="H316"/>
      <c r="I316"/>
    </row>
    <row r="317" spans="8:9" ht="12.75">
      <c r="H317"/>
      <c r="I317"/>
    </row>
    <row r="318" spans="8:9" ht="12.75">
      <c r="H318"/>
      <c r="I318"/>
    </row>
    <row r="319" spans="8:9" ht="12.75">
      <c r="H319"/>
      <c r="I319"/>
    </row>
    <row r="320" spans="8:9" ht="12.75">
      <c r="H320"/>
      <c r="I320"/>
    </row>
    <row r="321" spans="8:9" ht="12.75">
      <c r="H321"/>
      <c r="I321"/>
    </row>
    <row r="322" spans="8:9" ht="12.75">
      <c r="H322"/>
      <c r="I322"/>
    </row>
    <row r="323" spans="8:9" ht="12.75">
      <c r="H323"/>
      <c r="I323"/>
    </row>
    <row r="324" spans="8:9" ht="12.75">
      <c r="H324"/>
      <c r="I324"/>
    </row>
    <row r="325" spans="8:9" ht="12.75">
      <c r="H325"/>
      <c r="I325"/>
    </row>
    <row r="326" spans="8:9" ht="12.75">
      <c r="H326"/>
      <c r="I326"/>
    </row>
    <row r="327" spans="8:9" ht="12.75">
      <c r="H327"/>
      <c r="I327"/>
    </row>
    <row r="328" spans="8:9" ht="12.75">
      <c r="H328"/>
      <c r="I328"/>
    </row>
    <row r="329" spans="8:9" ht="12.75">
      <c r="H329"/>
      <c r="I329"/>
    </row>
    <row r="330" spans="8:9" ht="12.75">
      <c r="H330"/>
      <c r="I330"/>
    </row>
    <row r="331" spans="8:9" ht="12.75">
      <c r="H331"/>
      <c r="I331"/>
    </row>
    <row r="332" spans="8:9" ht="12.75">
      <c r="H332"/>
      <c r="I332"/>
    </row>
    <row r="333" spans="8:9" ht="12.75">
      <c r="H333"/>
      <c r="I333"/>
    </row>
    <row r="334" spans="8:9" ht="12.75">
      <c r="H334"/>
      <c r="I334"/>
    </row>
    <row r="335" spans="8:9" ht="12.75">
      <c r="H335"/>
      <c r="I335"/>
    </row>
    <row r="336" spans="8:9" ht="12.75">
      <c r="H336"/>
      <c r="I336"/>
    </row>
    <row r="337" spans="8:9" ht="12.75">
      <c r="H337"/>
      <c r="I337"/>
    </row>
    <row r="338" spans="8:9" ht="12.75">
      <c r="H338"/>
      <c r="I338"/>
    </row>
    <row r="339" spans="8:9" ht="12.75">
      <c r="H339"/>
      <c r="I339"/>
    </row>
    <row r="340" spans="8:9" ht="12.75">
      <c r="H340"/>
      <c r="I340"/>
    </row>
    <row r="341" spans="8:9" ht="12.75">
      <c r="H341"/>
      <c r="I341"/>
    </row>
    <row r="342" spans="8:9" ht="12.75">
      <c r="H342"/>
      <c r="I342"/>
    </row>
    <row r="343" spans="8:9" ht="12.75">
      <c r="H343"/>
      <c r="I343"/>
    </row>
    <row r="344" spans="8:9" ht="12.75">
      <c r="H344"/>
      <c r="I344"/>
    </row>
    <row r="345" spans="8:9" ht="12.75">
      <c r="H345"/>
      <c r="I345"/>
    </row>
    <row r="346" spans="8:9" ht="12.75">
      <c r="H346"/>
      <c r="I346"/>
    </row>
    <row r="347" spans="8:9" ht="12.75">
      <c r="H347"/>
      <c r="I347"/>
    </row>
    <row r="348" spans="8:9" ht="12.75">
      <c r="H348"/>
      <c r="I348"/>
    </row>
    <row r="349" spans="8:9" ht="12.75">
      <c r="H349"/>
      <c r="I349"/>
    </row>
    <row r="350" spans="8:9" ht="12.75">
      <c r="H350"/>
      <c r="I350"/>
    </row>
    <row r="351" spans="8:9" ht="12.75">
      <c r="H351"/>
      <c r="I351"/>
    </row>
    <row r="352" spans="8:9" ht="12.75">
      <c r="H352"/>
      <c r="I352"/>
    </row>
    <row r="353" spans="8:9" ht="12.75">
      <c r="H353"/>
      <c r="I353"/>
    </row>
    <row r="354" spans="8:9" ht="12.75">
      <c r="H354"/>
      <c r="I354"/>
    </row>
    <row r="355" spans="8:9" ht="12.75">
      <c r="H355"/>
      <c r="I355"/>
    </row>
    <row r="356" spans="8:9" ht="12.75">
      <c r="H356"/>
      <c r="I356"/>
    </row>
    <row r="357" spans="8:9" ht="12.75">
      <c r="H357"/>
      <c r="I357"/>
    </row>
    <row r="358" spans="8:9" ht="12.75">
      <c r="H358"/>
      <c r="I358"/>
    </row>
    <row r="359" spans="8:9" ht="12.75">
      <c r="H359"/>
      <c r="I359"/>
    </row>
    <row r="360" spans="8:9" ht="12.75">
      <c r="H360"/>
      <c r="I360"/>
    </row>
    <row r="361" spans="8:9" ht="12.75">
      <c r="H361"/>
      <c r="I361"/>
    </row>
    <row r="362" spans="8:9" ht="12.75">
      <c r="H362"/>
      <c r="I362"/>
    </row>
    <row r="363" spans="8:9" ht="12.75">
      <c r="H363"/>
      <c r="I363"/>
    </row>
    <row r="364" spans="8:9" ht="12.75">
      <c r="H364"/>
      <c r="I364"/>
    </row>
    <row r="365" spans="8:9" ht="12.75">
      <c r="H365"/>
      <c r="I365"/>
    </row>
    <row r="366" spans="8:9" ht="12.75">
      <c r="H366"/>
      <c r="I366"/>
    </row>
    <row r="367" spans="8:9" ht="12.75">
      <c r="H367"/>
      <c r="I367"/>
    </row>
    <row r="368" spans="8:9" ht="12.75">
      <c r="H368"/>
      <c r="I368"/>
    </row>
    <row r="369" spans="8:9" ht="12.75">
      <c r="H369"/>
      <c r="I369"/>
    </row>
    <row r="370" spans="8:9" ht="12.75">
      <c r="H370"/>
      <c r="I370"/>
    </row>
    <row r="371" spans="8:9" ht="12.75">
      <c r="H371"/>
      <c r="I371"/>
    </row>
    <row r="372" spans="8:9" ht="12.75">
      <c r="H372"/>
      <c r="I372"/>
    </row>
    <row r="373" spans="8:9" ht="12.75">
      <c r="H373"/>
      <c r="I373"/>
    </row>
    <row r="374" spans="8:9" ht="12.75">
      <c r="H374"/>
      <c r="I374"/>
    </row>
    <row r="375" spans="8:9" ht="12.75">
      <c r="H375"/>
      <c r="I375"/>
    </row>
    <row r="376" spans="8:9" ht="12.75">
      <c r="H376"/>
      <c r="I376"/>
    </row>
    <row r="377" spans="8:9" ht="12.75">
      <c r="H377"/>
      <c r="I377"/>
    </row>
    <row r="378" spans="8:9" ht="12.75">
      <c r="H378"/>
      <c r="I378"/>
    </row>
    <row r="379" spans="8:9" ht="12.75">
      <c r="H379"/>
      <c r="I379"/>
    </row>
    <row r="380" spans="8:9" ht="12.75">
      <c r="H380"/>
      <c r="I380"/>
    </row>
    <row r="381" spans="8:9" ht="12.75">
      <c r="H381"/>
      <c r="I381"/>
    </row>
    <row r="382" spans="8:9" ht="12.75">
      <c r="H382"/>
      <c r="I382"/>
    </row>
    <row r="383" spans="8:9" ht="12.75">
      <c r="H383"/>
      <c r="I383"/>
    </row>
    <row r="384" spans="8:9" ht="12.75">
      <c r="H384"/>
      <c r="I384"/>
    </row>
    <row r="385" spans="8:9" ht="12.75">
      <c r="H385"/>
      <c r="I385"/>
    </row>
    <row r="386" spans="8:9" ht="12.75">
      <c r="H386"/>
      <c r="I386"/>
    </row>
    <row r="387" spans="8:9" ht="12.75">
      <c r="H387"/>
      <c r="I387"/>
    </row>
    <row r="388" spans="8:9" ht="12.75">
      <c r="H388"/>
      <c r="I388"/>
    </row>
    <row r="389" spans="8:9" ht="12.75">
      <c r="H389"/>
      <c r="I389"/>
    </row>
    <row r="390" spans="8:9" ht="12.75">
      <c r="H390"/>
      <c r="I390"/>
    </row>
    <row r="391" spans="8:9" ht="12.75">
      <c r="H391"/>
      <c r="I391"/>
    </row>
    <row r="392" spans="8:9" ht="12.75">
      <c r="H392"/>
      <c r="I392"/>
    </row>
    <row r="393" spans="8:9" ht="12.75">
      <c r="H393"/>
      <c r="I393"/>
    </row>
    <row r="394" spans="8:9" ht="12.75">
      <c r="H394"/>
      <c r="I394"/>
    </row>
    <row r="395" spans="8:9" ht="12.75">
      <c r="H395"/>
      <c r="I395"/>
    </row>
    <row r="396" spans="8:9" ht="12.75">
      <c r="H396"/>
      <c r="I396"/>
    </row>
    <row r="397" spans="8:9" ht="12.75">
      <c r="H397"/>
      <c r="I397"/>
    </row>
    <row r="398" spans="8:9" ht="12.75">
      <c r="H398"/>
      <c r="I398"/>
    </row>
    <row r="399" spans="8:9" ht="12.75">
      <c r="H399"/>
      <c r="I399"/>
    </row>
    <row r="400" spans="8:9" ht="12.75">
      <c r="H400"/>
      <c r="I400"/>
    </row>
    <row r="401" spans="8:9" ht="12.75">
      <c r="H401"/>
      <c r="I401"/>
    </row>
    <row r="402" spans="8:9" ht="12.75">
      <c r="H402"/>
      <c r="I402"/>
    </row>
    <row r="403" spans="8:9" ht="12.75">
      <c r="H403"/>
      <c r="I403"/>
    </row>
    <row r="404" spans="8:9" ht="12.75">
      <c r="H404"/>
      <c r="I404"/>
    </row>
    <row r="405" spans="8:9" ht="12.75">
      <c r="H405"/>
      <c r="I405"/>
    </row>
    <row r="406" spans="8:9" ht="12.75">
      <c r="H406"/>
      <c r="I406"/>
    </row>
    <row r="407" spans="8:9" ht="12.75">
      <c r="H407"/>
      <c r="I407"/>
    </row>
    <row r="408" spans="8:9" ht="12.75">
      <c r="H408"/>
      <c r="I408"/>
    </row>
    <row r="409" spans="8:9" ht="12.75">
      <c r="H409"/>
      <c r="I409"/>
    </row>
    <row r="410" spans="8:9" ht="12.75">
      <c r="H410"/>
      <c r="I410"/>
    </row>
    <row r="411" spans="8:9" ht="12.75">
      <c r="H411"/>
      <c r="I411"/>
    </row>
    <row r="412" spans="8:9" ht="12.75">
      <c r="H412"/>
      <c r="I412"/>
    </row>
    <row r="413" spans="8:9" ht="12.75">
      <c r="H413"/>
      <c r="I413"/>
    </row>
    <row r="414" spans="8:9" ht="12.75">
      <c r="H414"/>
      <c r="I414"/>
    </row>
    <row r="415" spans="8:9" ht="12.75">
      <c r="H415"/>
      <c r="I415"/>
    </row>
    <row r="416" spans="8:9" ht="12.75">
      <c r="H416"/>
      <c r="I416"/>
    </row>
    <row r="417" spans="8:9" ht="12.75">
      <c r="H417"/>
      <c r="I417"/>
    </row>
    <row r="418" spans="8:9" ht="12.75">
      <c r="H418"/>
      <c r="I418"/>
    </row>
    <row r="419" spans="8:9" ht="12.75">
      <c r="H419"/>
      <c r="I419"/>
    </row>
    <row r="420" spans="8:9" ht="12.75">
      <c r="H420"/>
      <c r="I420"/>
    </row>
    <row r="421" spans="8:9" ht="12.75">
      <c r="H421"/>
      <c r="I421"/>
    </row>
    <row r="422" spans="8:9" ht="12.75">
      <c r="H422"/>
      <c r="I422"/>
    </row>
    <row r="423" spans="8:9" ht="12.75">
      <c r="H423"/>
      <c r="I423"/>
    </row>
    <row r="424" spans="8:9" ht="12.75">
      <c r="H424"/>
      <c r="I424"/>
    </row>
    <row r="425" spans="8:9" ht="12.75">
      <c r="H425"/>
      <c r="I425"/>
    </row>
    <row r="426" spans="8:9" ht="12.75">
      <c r="H426"/>
      <c r="I426"/>
    </row>
    <row r="427" spans="8:9" ht="12.75">
      <c r="H427"/>
      <c r="I427"/>
    </row>
    <row r="428" spans="8:9" ht="12.75">
      <c r="H428"/>
      <c r="I428"/>
    </row>
    <row r="429" spans="8:9" ht="12.75">
      <c r="H429"/>
      <c r="I429"/>
    </row>
    <row r="430" spans="8:9" ht="12.75">
      <c r="H430"/>
      <c r="I430"/>
    </row>
    <row r="431" spans="8:9" ht="12.75">
      <c r="H431"/>
      <c r="I431"/>
    </row>
    <row r="432" ht="12.75">
      <c r="H432"/>
    </row>
  </sheetData>
  <sheetProtection selectLockedCells="1"/>
  <mergeCells count="5">
    <mergeCell ref="H36:J36"/>
    <mergeCell ref="J28:L30"/>
    <mergeCell ref="A1:I4"/>
    <mergeCell ref="A6:E6"/>
    <mergeCell ref="F6:I6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N159"/>
  <sheetViews>
    <sheetView zoomScale="85" zoomScaleNormal="85" workbookViewId="0" topLeftCell="A1">
      <selection activeCell="K6" sqref="K6"/>
    </sheetView>
  </sheetViews>
  <sheetFormatPr defaultColWidth="9.140625" defaultRowHeight="12.75"/>
  <cols>
    <col min="1" max="1" width="16.28125" style="88" customWidth="1"/>
    <col min="2" max="2" width="24.28125" style="88" bestFit="1" customWidth="1"/>
    <col min="3" max="3" width="19.00390625" style="88" bestFit="1" customWidth="1"/>
    <col min="4" max="4" width="23.8515625" style="88" bestFit="1" customWidth="1"/>
    <col min="5" max="5" width="18.421875" style="88" bestFit="1" customWidth="1"/>
    <col min="6" max="6" width="13.7109375" style="88" bestFit="1" customWidth="1"/>
    <col min="7" max="7" width="10.140625" style="88" customWidth="1"/>
    <col min="8" max="8" width="9.140625" style="88" customWidth="1"/>
    <col min="9" max="9" width="6.57421875" style="88" customWidth="1"/>
    <col min="10" max="10" width="13.57421875" style="88" bestFit="1" customWidth="1"/>
    <col min="11" max="11" width="13.140625" style="88" bestFit="1" customWidth="1"/>
    <col min="12" max="12" width="13.140625" style="88" customWidth="1"/>
    <col min="13" max="13" width="18.28125" style="88" bestFit="1" customWidth="1"/>
    <col min="14" max="14" width="11.7109375" style="88" bestFit="1" customWidth="1"/>
    <col min="15" max="16384" width="9.140625" style="88" customWidth="1"/>
  </cols>
  <sheetData>
    <row r="1" spans="1:8" ht="12.75">
      <c r="A1" s="246" t="s">
        <v>36</v>
      </c>
      <c r="B1" s="254"/>
      <c r="C1" s="254"/>
      <c r="D1" s="254"/>
      <c r="E1" s="79"/>
      <c r="F1" s="79"/>
      <c r="G1" s="79"/>
      <c r="H1" s="79"/>
    </row>
    <row r="2" spans="1:8" ht="12.75">
      <c r="A2" s="254"/>
      <c r="B2" s="254"/>
      <c r="C2" s="254"/>
      <c r="D2" s="254"/>
      <c r="E2" s="79"/>
      <c r="F2" s="79"/>
      <c r="G2" s="79"/>
      <c r="H2" s="79"/>
    </row>
    <row r="3" spans="1:8" ht="12.75" customHeight="1">
      <c r="A3" s="254"/>
      <c r="B3" s="254"/>
      <c r="C3" s="254"/>
      <c r="D3" s="254"/>
      <c r="E3" s="79"/>
      <c r="F3" s="79"/>
      <c r="G3" s="79"/>
      <c r="H3" s="79"/>
    </row>
    <row r="4" spans="1:14" ht="12.75" customHeight="1" thickBot="1">
      <c r="A4" s="248" t="s">
        <v>28</v>
      </c>
      <c r="B4" s="248"/>
      <c r="C4" s="248"/>
      <c r="D4" s="248"/>
      <c r="E4" s="248" t="s">
        <v>9</v>
      </c>
      <c r="F4" s="248"/>
      <c r="G4" s="248"/>
      <c r="H4" s="248"/>
      <c r="J4" s="88" t="s">
        <v>56</v>
      </c>
      <c r="K4" s="88" t="s">
        <v>146</v>
      </c>
      <c r="L4" s="88" t="s">
        <v>128</v>
      </c>
      <c r="M4" s="88" t="s">
        <v>147</v>
      </c>
      <c r="N4" s="88" t="s">
        <v>4</v>
      </c>
    </row>
    <row r="5" spans="1:14" ht="12.75" customHeight="1" thickBot="1">
      <c r="A5" s="90"/>
      <c r="B5" s="90"/>
      <c r="C5" s="90"/>
      <c r="D5" s="90"/>
      <c r="E5" s="90"/>
      <c r="F5" s="90"/>
      <c r="G5" s="90"/>
      <c r="H5" s="82"/>
      <c r="J5" s="88">
        <v>0</v>
      </c>
      <c r="K5" s="88">
        <v>0</v>
      </c>
      <c r="M5" s="88">
        <f>E7</f>
        <v>11</v>
      </c>
      <c r="N5" s="88">
        <f>IF(nz2_select=1,1,IF(alg_select=2,3,IF($M$5&gt;=$K$8,3,(LOOKUP(M5,K5:K8,J5:J8)+1))))</f>
        <v>3</v>
      </c>
    </row>
    <row r="6" spans="1:12" ht="13.5" thickBot="1">
      <c r="A6" s="90" t="s">
        <v>27</v>
      </c>
      <c r="B6" s="180">
        <f>NVTable_Data_Weeds!C24</f>
        <v>30</v>
      </c>
      <c r="C6" s="90" t="s">
        <v>29</v>
      </c>
      <c r="D6" s="90" t="s">
        <v>157</v>
      </c>
      <c r="E6" s="130">
        <f>NVTable_Data_Weeds!C17</f>
        <v>36</v>
      </c>
      <c r="F6" s="90"/>
      <c r="G6" s="91" t="str">
        <f>IF(G7=1,"Spot-spray",IF(G7=2,"Flat &amp; Spot-Spray","Flat rate"))</f>
        <v>Flat &amp; Spot-Spray</v>
      </c>
      <c r="H6" s="82"/>
      <c r="J6" s="88">
        <v>1</v>
      </c>
      <c r="K6" s="88">
        <f>IF(alg_select=1,((LN(des_pres_w)*(nz1_cons)+(nz1_pwr)))*5940/(spray_width*des_spd_w),((LN(des_pres_w)*(nz1_cons)+(nz1_pwr)))*5940/(noz_spc_w*des_spd_w))</f>
        <v>8.50609566721047</v>
      </c>
      <c r="L6" s="88">
        <f>IF(N5=3,1,IF(N5=1,1,0))</f>
        <v>1</v>
      </c>
    </row>
    <row r="7" spans="1:12" ht="13.5" thickBot="1">
      <c r="A7" s="90" t="s">
        <v>26</v>
      </c>
      <c r="B7" s="180">
        <v>10</v>
      </c>
      <c r="C7" s="90" t="s">
        <v>30</v>
      </c>
      <c r="D7" s="90" t="s">
        <v>139</v>
      </c>
      <c r="E7" s="130">
        <f>NVTable_Data_Weeds!B17</f>
        <v>11</v>
      </c>
      <c r="F7" s="90"/>
      <c r="G7" s="128">
        <f>NVTable_Data_Weeds!D47</f>
        <v>2</v>
      </c>
      <c r="H7" s="82"/>
      <c r="J7" s="88">
        <v>2</v>
      </c>
      <c r="K7" s="88">
        <f>IF(alg_select=3,((LN(des_pres_w)*(nz2_cons)+(nz2_pwr)))*5940/(noz_spc_w*des_spd_w),((LN(des_pres_w)*(nz2_cons)+(nz2_pwr)))*5940/(spray_width_2*des_spd_w))</f>
        <v>4.4837302018696015</v>
      </c>
      <c r="L7" s="88">
        <f>IF(nz2_select=1,0,IF(N5=2,1,IF(N5=3,1,0)))</f>
        <v>1</v>
      </c>
    </row>
    <row r="8" spans="1:14" ht="12.75">
      <c r="A8" s="90" t="s">
        <v>141</v>
      </c>
      <c r="B8" s="104">
        <f>NVTable_Data_Weeds!B26</f>
        <v>3</v>
      </c>
      <c r="C8" s="90"/>
      <c r="D8" s="90" t="s">
        <v>140</v>
      </c>
      <c r="E8" s="201">
        <f>des_rate/des_GPA</f>
        <v>3.272727272727273</v>
      </c>
      <c r="F8" s="90"/>
      <c r="G8" s="90"/>
      <c r="H8" s="82"/>
      <c r="J8" s="88">
        <v>3</v>
      </c>
      <c r="K8" s="88">
        <f>IF(alg_select=1,((LN(des_pres_w)*(nz1_cons)+(nz1_pwr)))*5940/(spray_width*des_spd_w)+((LN(des_pres_w)*(nz2_cons)+(nz2_pwr)))*5940/(spray_width_2*des_spd_w),IF(alg_select=2,((LN(des_pres_w)*(nz1_cons)+(nz1_pwr)))*5940/(noz_spc_w*des_spd_w)+((LN(des_pres_w)*(nz2_cons)+(nz2_pwr)))*5940/(spray_width_2*des_spd_w),((LN(des_pres_w)*(nz1_cons)+(nz1_pwr)))*5940/(noz_spc_w*des_spd_w)+((LN(des_pres_w)*(nz2_cons)+(nz2_pwr)))*5940/(noz_spc_w*des_spd_w)))</f>
        <v>12.989825869080072</v>
      </c>
      <c r="N8" s="88" t="s">
        <v>179</v>
      </c>
    </row>
    <row r="9" spans="1:14" ht="12.75">
      <c r="A9" s="184" t="s">
        <v>142</v>
      </c>
      <c r="B9" s="104">
        <f>NVTable_Data_Weeds!C26</f>
        <v>40</v>
      </c>
      <c r="C9" s="184"/>
      <c r="D9" s="90" t="s">
        <v>144</v>
      </c>
      <c r="E9" s="183">
        <f>des_spd_w</f>
        <v>10</v>
      </c>
      <c r="F9" s="90"/>
      <c r="G9" s="90"/>
      <c r="H9" s="82"/>
      <c r="M9" s="88">
        <v>1</v>
      </c>
      <c r="N9" s="88" t="s">
        <v>251</v>
      </c>
    </row>
    <row r="10" spans="1:14" ht="12.75">
      <c r="A10" s="184"/>
      <c r="B10" s="185"/>
      <c r="C10" s="184"/>
      <c r="D10" s="90" t="s">
        <v>143</v>
      </c>
      <c r="E10" s="202">
        <f>LOOKUP($E$9,$B$31:$B$158,$D$31:$D$158)</f>
        <v>23.278946170828306</v>
      </c>
      <c r="F10" s="90"/>
      <c r="G10" s="90"/>
      <c r="H10" s="82"/>
      <c r="M10" s="88">
        <v>2</v>
      </c>
      <c r="N10" s="88" t="s">
        <v>255</v>
      </c>
    </row>
    <row r="11" spans="1:14" ht="12.75">
      <c r="A11" s="90" t="s">
        <v>66</v>
      </c>
      <c r="B11" s="90" t="s">
        <v>67</v>
      </c>
      <c r="C11" s="184"/>
      <c r="D11" s="90" t="s">
        <v>145</v>
      </c>
      <c r="E11" s="203">
        <f>ROUND(LOOKUP(0,$L$30:$L$158,$B$30:$B$158),0)</f>
        <v>0</v>
      </c>
      <c r="F11" s="90"/>
      <c r="G11" s="90"/>
      <c r="H11" s="82"/>
      <c r="M11" s="88">
        <v>3</v>
      </c>
      <c r="N11" s="88" t="s">
        <v>256</v>
      </c>
    </row>
    <row r="12" spans="1:14" ht="12.75">
      <c r="A12" s="204" t="str">
        <f ca="1">OFFSET(NVTable_Data_Weeds!$A$51,LOOKUP(nz1_select,NVTable_Data_Weeds!A52:A90),1)</f>
        <v>TP6504</v>
      </c>
      <c r="B12" s="204" t="str">
        <f ca="1">OFFSET(NVTable_Data_Weeds!$D$51,LOOKUP(nz2_select,NVTable_Data_Weeds!D52:D90),1)</f>
        <v>TP6504</v>
      </c>
      <c r="C12" s="184"/>
      <c r="D12" s="90" t="s">
        <v>148</v>
      </c>
      <c r="E12" s="181">
        <f>IF(N5&lt;3,0,((nz1_cons*LN(calc_pres)+nz1_pwr)*5940/(calc_spd*noz_spc_w)))</f>
        <v>7.20310289624702</v>
      </c>
      <c r="F12" s="90"/>
      <c r="G12" s="90"/>
      <c r="H12" s="82"/>
      <c r="M12" s="88">
        <v>4</v>
      </c>
      <c r="N12" s="88" t="s">
        <v>257</v>
      </c>
    </row>
    <row r="13" spans="1:8" ht="12.75">
      <c r="A13" s="184">
        <f>nz1_select</f>
        <v>7</v>
      </c>
      <c r="B13" s="184">
        <f>nz2_select</f>
        <v>7</v>
      </c>
      <c r="C13" s="184"/>
      <c r="D13" s="90" t="s">
        <v>149</v>
      </c>
      <c r="E13" s="181">
        <f>E12*E8</f>
        <v>23.57379129680843</v>
      </c>
      <c r="F13" s="90"/>
      <c r="G13" s="90"/>
      <c r="H13" s="82"/>
    </row>
    <row r="14" spans="1:14" ht="26.25" customHeight="1">
      <c r="A14" s="184"/>
      <c r="B14" s="184"/>
      <c r="C14" s="184"/>
      <c r="D14" s="90" t="s">
        <v>261</v>
      </c>
      <c r="E14" s="212">
        <f>IF(NVTable_Data_Entry!B26="y",30,15)</f>
        <v>15</v>
      </c>
      <c r="F14" s="90"/>
      <c r="G14" s="90"/>
      <c r="H14" s="82"/>
      <c r="J14" s="258" t="str">
        <f>IF(G7&lt;3,IF(B7&gt;15,Hwarn1,IF((des_pres_w-calc_pres)&gt;10,Hwarn2,(IF((calc_pres-des_pres_w)&gt;10,Hwarn3,(IF((calc_spd-E11)&lt;5,Hwarn4,"All Parameters Accepted")))))),IF((des_pres_w-calc_pres)&gt;10,Hwarn2,(IF((calc_pres-des_pres_w)&gt;10,Hwarn3,(IF((calc_spd-E11)&lt;5,Hwarn4,"All Parameters Accepted"))))))</f>
        <v>All Parameters Accepted</v>
      </c>
      <c r="K14" s="252"/>
      <c r="L14" s="252"/>
      <c r="N14" s="88" t="s">
        <v>179</v>
      </c>
    </row>
    <row r="15" spans="1:14" ht="12.75">
      <c r="A15" s="185" t="s">
        <v>72</v>
      </c>
      <c r="B15" s="185"/>
      <c r="C15" s="185"/>
      <c r="D15" s="90"/>
      <c r="E15" s="90"/>
      <c r="F15" s="90"/>
      <c r="G15" s="90"/>
      <c r="H15" s="82"/>
      <c r="M15" s="88">
        <v>1</v>
      </c>
      <c r="N15" s="88" t="s">
        <v>180</v>
      </c>
    </row>
    <row r="16" spans="1:14" ht="13.5" thickBot="1">
      <c r="A16" s="185" t="s">
        <v>71</v>
      </c>
      <c r="B16" s="188" t="s">
        <v>119</v>
      </c>
      <c r="C16" s="188" t="s">
        <v>120</v>
      </c>
      <c r="D16" s="90"/>
      <c r="E16" s="90"/>
      <c r="F16" s="90"/>
      <c r="G16" s="90"/>
      <c r="H16" s="82"/>
      <c r="J16" s="256" t="str">
        <f>IF(alg=2,IF(valv2_stat=0,warn8,IF(K8&lt;M5,IF(valv2_stat=1,warn3,warn7),IF(LOOKUP(0,test_col,Noz1_GPA)&gt;=min_label,warn1,warn2))),IF(K8&lt;M5,IF(valv2_stat=1,warn3,warn5),IF(nz2_select=1,IF(LOOKUP(0,test_col,Noz1_GPA)&gt;=min_label,warn1,warn4),IF(M5&lt;K6,warn6,IF(LOOKUP(0,test_col,noz2_GPA)&gt;=min_label,IF(LOOKUP(0,test_col,Noz1_GPA)&gt;=min_label,warn1,warn2),warn2)))))</f>
        <v>Label Rate Requirements Met</v>
      </c>
      <c r="K16" s="257"/>
      <c r="L16" s="257"/>
      <c r="M16" s="88">
        <v>2</v>
      </c>
      <c r="N16" s="88" t="s">
        <v>181</v>
      </c>
    </row>
    <row r="17" spans="1:14" ht="12.75">
      <c r="A17" s="185" t="s">
        <v>66</v>
      </c>
      <c r="B17" s="189">
        <f ca="1">OFFSET(Noz_Lib!$A$21,8,MATCH(A13,Noz_Lib!$B$21:$BX$21))</f>
        <v>0.20755601020793363</v>
      </c>
      <c r="C17" s="190">
        <f ca="1">OFFSET(Noz_Lib!$A$21,9,MATCH(A13,Noz_Lib!$B$21:$BX$21))</f>
        <v>-0.3622583254488626</v>
      </c>
      <c r="D17" s="90"/>
      <c r="E17" s="205"/>
      <c r="F17" s="90"/>
      <c r="G17" s="90"/>
      <c r="H17" s="82"/>
      <c r="J17" s="257"/>
      <c r="K17" s="257"/>
      <c r="L17" s="257"/>
      <c r="M17" s="88">
        <v>3</v>
      </c>
      <c r="N17" s="88" t="s">
        <v>256</v>
      </c>
    </row>
    <row r="18" spans="1:14" ht="12.75">
      <c r="A18" s="185" t="s">
        <v>67</v>
      </c>
      <c r="B18" s="191">
        <f ca="1">IF(nz2_select=1,0,OFFSET(Noz_Lib!$A$21,8,MATCH(B13,Noz_Lib!$B$21:$BX$21)))</f>
        <v>0.20755601020793363</v>
      </c>
      <c r="C18" s="192">
        <f ca="1">IF(nz2_select=1,0,OFFSET(Noz_Lib!$A$21,9,MATCH(B13,Noz_Lib!$B$21:$BX$21)))</f>
        <v>-0.3622583254488626</v>
      </c>
      <c r="D18" s="90"/>
      <c r="E18" s="205"/>
      <c r="F18" s="90"/>
      <c r="G18" s="90"/>
      <c r="H18" s="82"/>
      <c r="J18" s="257"/>
      <c r="K18" s="257"/>
      <c r="L18" s="257"/>
      <c r="M18" s="88">
        <v>4</v>
      </c>
      <c r="N18" s="88" t="s">
        <v>181</v>
      </c>
    </row>
    <row r="19" spans="1:14" ht="12.75">
      <c r="A19" s="90"/>
      <c r="B19" s="90"/>
      <c r="C19" s="90"/>
      <c r="D19" s="90"/>
      <c r="E19" s="205"/>
      <c r="F19" s="205"/>
      <c r="G19" s="90"/>
      <c r="H19" s="82"/>
      <c r="J19" s="206"/>
      <c r="K19" s="206"/>
      <c r="L19" s="206"/>
      <c r="M19" s="207">
        <v>5</v>
      </c>
      <c r="N19" s="88" t="s">
        <v>182</v>
      </c>
    </row>
    <row r="20" spans="1:14" ht="12.75">
      <c r="A20" s="90"/>
      <c r="B20" s="90"/>
      <c r="C20" s="90"/>
      <c r="D20" s="90"/>
      <c r="E20" s="205"/>
      <c r="F20" s="90"/>
      <c r="G20" s="90"/>
      <c r="H20" s="82"/>
      <c r="M20" s="88">
        <v>6</v>
      </c>
      <c r="N20" s="88" t="s">
        <v>183</v>
      </c>
    </row>
    <row r="21" spans="1:14" ht="12.75">
      <c r="A21" s="63"/>
      <c r="B21" s="59"/>
      <c r="C21" s="90"/>
      <c r="D21" s="90"/>
      <c r="E21" s="90"/>
      <c r="F21" s="90"/>
      <c r="G21" s="90"/>
      <c r="H21" s="82"/>
      <c r="M21" s="88">
        <v>7</v>
      </c>
      <c r="N21" s="88" t="s">
        <v>182</v>
      </c>
    </row>
    <row r="22" spans="1:14" ht="12.75">
      <c r="A22" s="63"/>
      <c r="B22" s="63"/>
      <c r="C22" s="90"/>
      <c r="D22" s="90"/>
      <c r="E22" s="90"/>
      <c r="F22" s="90"/>
      <c r="G22" s="90"/>
      <c r="H22" s="82"/>
      <c r="M22" s="88">
        <v>8</v>
      </c>
      <c r="N22" s="88" t="s">
        <v>226</v>
      </c>
    </row>
    <row r="23" spans="1:8" ht="12.75">
      <c r="A23" s="213">
        <v>0</v>
      </c>
      <c r="B23" s="213">
        <v>0</v>
      </c>
      <c r="C23" s="90"/>
      <c r="D23" s="90"/>
      <c r="E23" s="90"/>
      <c r="F23" s="90"/>
      <c r="G23" s="90"/>
      <c r="H23" s="82"/>
    </row>
    <row r="24" spans="1:8" ht="12.75">
      <c r="A24" s="90"/>
      <c r="B24" s="90"/>
      <c r="C24" s="90"/>
      <c r="D24" s="90"/>
      <c r="E24" s="90"/>
      <c r="F24" s="90"/>
      <c r="G24" s="90"/>
      <c r="H24" s="82"/>
    </row>
    <row r="25" spans="1:8" ht="12.75">
      <c r="A25" s="188" t="s">
        <v>92</v>
      </c>
      <c r="B25" s="188" t="s">
        <v>222</v>
      </c>
      <c r="C25" s="195" t="s">
        <v>223</v>
      </c>
      <c r="D25" s="90" t="s">
        <v>224</v>
      </c>
      <c r="E25" s="90" t="s">
        <v>225</v>
      </c>
      <c r="F25" s="188" t="s">
        <v>156</v>
      </c>
      <c r="G25" s="90"/>
      <c r="H25" s="82"/>
    </row>
    <row r="26" spans="1:8" ht="12.75">
      <c r="A26" s="185">
        <f>NVTable_Data_Weeds!B22</f>
        <v>24</v>
      </c>
      <c r="B26" s="208">
        <f>2*$F$26*TAN(RADIANS($C$26/2))</f>
        <v>45.53045942147176</v>
      </c>
      <c r="C26" s="90">
        <f ca="1">OFFSET(Noz_Lib!$A$21,10,MATCH(A13,Noz_Lib!B21:BX21))</f>
        <v>65</v>
      </c>
      <c r="D26" s="209">
        <f>2*$F$26*TAN(RADIANS($E$26/2))</f>
        <v>45.53045942147176</v>
      </c>
      <c r="E26" s="90">
        <f ca="1">IF(nz2_select=1,1,OFFSET(Noz_Lib!$A$21,10,MATCH(B13,Noz_Lib!B21:BX21)))</f>
        <v>65</v>
      </c>
      <c r="F26" s="185">
        <f>(noz_spc_w-(noz_spc_w*0.2))/SIN(RADIANS(nz_angle_2/2))</f>
        <v>35.73425273670869</v>
      </c>
      <c r="G26" s="90"/>
      <c r="H26" s="82"/>
    </row>
    <row r="27" spans="1:8" ht="13.5" thickBot="1">
      <c r="A27" s="184"/>
      <c r="B27" s="184"/>
      <c r="C27" s="184"/>
      <c r="D27" s="210"/>
      <c r="E27" s="210"/>
      <c r="F27" s="197"/>
      <c r="G27" s="197"/>
      <c r="H27" s="197"/>
    </row>
    <row r="28" spans="1:12" ht="14.25" thickBot="1" thickTop="1">
      <c r="A28" s="255" t="s">
        <v>32</v>
      </c>
      <c r="B28" s="255"/>
      <c r="C28" s="255"/>
      <c r="D28" s="255"/>
      <c r="E28" s="255"/>
      <c r="F28" s="79"/>
      <c r="G28" s="79"/>
      <c r="H28" s="79"/>
      <c r="I28" s="79"/>
      <c r="J28" s="79"/>
      <c r="K28" s="79"/>
      <c r="L28" s="79"/>
    </row>
    <row r="29" spans="1:12" ht="12.75">
      <c r="A29" s="198" t="s">
        <v>33</v>
      </c>
      <c r="B29" s="198" t="s">
        <v>34</v>
      </c>
      <c r="C29" s="198" t="s">
        <v>121</v>
      </c>
      <c r="D29" s="198" t="s">
        <v>35</v>
      </c>
      <c r="E29" s="198" t="s">
        <v>37</v>
      </c>
      <c r="F29" s="79"/>
      <c r="G29" s="79" t="s">
        <v>125</v>
      </c>
      <c r="H29" s="79"/>
      <c r="I29" s="79"/>
      <c r="J29" s="79" t="s">
        <v>134</v>
      </c>
      <c r="K29" s="79" t="s">
        <v>135</v>
      </c>
      <c r="L29" s="79" t="s">
        <v>137</v>
      </c>
    </row>
    <row r="30" spans="1:12" ht="12.75">
      <c r="A30" s="160">
        <v>0</v>
      </c>
      <c r="B30" s="160">
        <v>0</v>
      </c>
      <c r="C30" s="160">
        <f aca="true" t="shared" si="0" ref="C30:C61">INT(((B30*SQRT(des_pres_w))/(des_spd_w))^2+0.5)</f>
        <v>0</v>
      </c>
      <c r="D30" s="199">
        <f aca="true" t="shared" si="1" ref="D30:D61">IF(alg=2,EXP(((des_GPA*B30/5940)-(nz1_pwr*valv1_stat/noz_spc_w)-(nz2_pwr*valv2_stat/spray_width_2))/((nz1_cons*valv1_stat/noz_spc_w)+(nz2_cons*valv2_stat/spray_width_2))),IF(alg=1,EXP(((des_GPA*B30/5940)-(nz1_pwr*valv1_stat/spray_width)-(nz2_pwr*valv2_stat/spray_width_2))/((nz1_cons*valv1_stat/spray_width)+(nz2_cons*valv2_stat/spray_width_2))),EXP(((des_GPA*B30/5940)-(nz1_pwr*valv1_stat/noz_spc_w)-(nz2_pwr*valv2_stat/noz_spc_w))/((nz1_cons*valv1_stat/noz_spc_w)+(nz2_cons*valv2_stat/noz_spc_w)))))</f>
        <v>5.727918118032565</v>
      </c>
      <c r="E30" s="160">
        <f>INT(D30)</f>
        <v>5</v>
      </c>
      <c r="F30" s="79"/>
      <c r="G30" s="79">
        <v>0</v>
      </c>
      <c r="H30" s="79"/>
      <c r="I30" s="79"/>
      <c r="J30" s="171">
        <f>J31</f>
        <v>7.2</v>
      </c>
      <c r="K30" s="79">
        <f>K31</f>
        <v>3.8</v>
      </c>
      <c r="L30" s="79">
        <v>0</v>
      </c>
    </row>
    <row r="31" spans="1:12" ht="12.75">
      <c r="A31" s="160">
        <v>1</v>
      </c>
      <c r="B31" s="160">
        <f>A31*20/128</f>
        <v>0.15625</v>
      </c>
      <c r="C31" s="160">
        <f t="shared" si="0"/>
        <v>0</v>
      </c>
      <c r="D31" s="199">
        <f t="shared" si="1"/>
        <v>5.85479782465402</v>
      </c>
      <c r="E31" s="160">
        <f aca="true" t="shared" si="2" ref="E31:E94">INT(D31)</f>
        <v>5</v>
      </c>
      <c r="F31" s="79"/>
      <c r="G31" s="79">
        <f aca="true" t="shared" si="3" ref="G31:G62">IF(alg=3,(LN(D31)*(nz1_cons*valv1_stat+nz2_cons*valv2_stat)+((nz1_pwr*valv1_stat+nz2_pwr*valv2_stat)))*5940/(noz_spc_w*B31),IF(alg=1,((LN(D31)*nz1_cons+nz1_pwr)*5940/(spray_width*B31)*valv1_stat)+((LN(D31)*nz2_cons+nz2_pwr)*5940/(spray_width_2*B31)*valv2_stat),((nz1_cons*LN(D31)+nz1_pwr)*5940/(B31*noz_spc_w))+((nz2_cons*LN(D31)+nz2_pwr)*5940/(B31*spray_width_2))))</f>
        <v>10.999999999999911</v>
      </c>
      <c r="H31" s="79"/>
      <c r="I31" s="79"/>
      <c r="J31" s="171">
        <f>IF(alg=1,ROUND(((valv1_stat*nz1_cons*LN(D31)+valv1_stat*nz1_pwr)*5940/(B31*spray_width)),2),ROUND(((valv1_stat*nz1_cons*LN(D31)+valv1_stat*nz1_pwr)*5940/(B31*noz_spc_w)),2))</f>
        <v>7.2</v>
      </c>
      <c r="K31" s="79">
        <f aca="true" t="shared" si="4" ref="K31:K62">IF(alg=3,ROUND(((valv2_stat*nz2_cons*LN(D31)+valv2_stat*nz2_pwr)*5940/(B31*noz_spc_w)),2),ROUND(((valv2_stat*nz2_cons*LN(D31)+valv2_stat*nz2_pwr)*5940/(B31*spray_width_2)),2))</f>
        <v>3.8</v>
      </c>
      <c r="L31" s="79">
        <f>IF(ABS(J31-J32)&gt;0.05,0,IF(ABS(K31-K32)&gt;0.05,0,1))</f>
        <v>1</v>
      </c>
    </row>
    <row r="32" spans="1:12" ht="12.75">
      <c r="A32" s="160">
        <v>2</v>
      </c>
      <c r="B32" s="160">
        <f aca="true" t="shared" si="5" ref="B32:B95">A32*20/128</f>
        <v>0.3125</v>
      </c>
      <c r="C32" s="160">
        <f t="shared" si="0"/>
        <v>0</v>
      </c>
      <c r="D32" s="199">
        <f t="shared" si="1"/>
        <v>5.984488056778916</v>
      </c>
      <c r="E32" s="160">
        <f t="shared" si="2"/>
        <v>5</v>
      </c>
      <c r="F32" s="79"/>
      <c r="G32" s="79">
        <f t="shared" si="3"/>
        <v>10.999999999999977</v>
      </c>
      <c r="H32" s="79"/>
      <c r="I32" s="79"/>
      <c r="J32" s="171">
        <f aca="true" t="shared" si="6" ref="J32:J62">IF(alg=1,ROUND(((valv1_stat*nz1_cons*LN(D32)+valv1_stat*nz1_pwr)*5940/(B32*spray_width)),2),ROUND(((valv1_stat*nz1_cons*LN(D32)+valv1_stat*nz1_pwr)*5940/(B32*noz_spc_w)),2))</f>
        <v>7.2</v>
      </c>
      <c r="K32" s="79">
        <f t="shared" si="4"/>
        <v>3.8</v>
      </c>
      <c r="L32" s="79">
        <f aca="true" t="shared" si="7" ref="L32:L95">IF(ABS(J32-J33)&gt;0.05,0,IF(ABS(K32-K33)&gt;0.05,0,1))</f>
        <v>1</v>
      </c>
    </row>
    <row r="33" spans="1:12" ht="12.75">
      <c r="A33" s="160">
        <v>3</v>
      </c>
      <c r="B33" s="160">
        <f t="shared" si="5"/>
        <v>0.46875</v>
      </c>
      <c r="C33" s="160">
        <f t="shared" si="0"/>
        <v>0</v>
      </c>
      <c r="D33" s="199">
        <f t="shared" si="1"/>
        <v>6.117051070648345</v>
      </c>
      <c r="E33" s="160">
        <f t="shared" si="2"/>
        <v>6</v>
      </c>
      <c r="F33" s="79"/>
      <c r="G33" s="79">
        <f t="shared" si="3"/>
        <v>10.999999999999956</v>
      </c>
      <c r="H33" s="79"/>
      <c r="I33" s="79"/>
      <c r="J33" s="171">
        <f t="shared" si="6"/>
        <v>7.2</v>
      </c>
      <c r="K33" s="79">
        <f t="shared" si="4"/>
        <v>3.8</v>
      </c>
      <c r="L33" s="79">
        <f t="shared" si="7"/>
        <v>1</v>
      </c>
    </row>
    <row r="34" spans="1:12" ht="12.75">
      <c r="A34" s="160">
        <v>4</v>
      </c>
      <c r="B34" s="160">
        <f t="shared" si="5"/>
        <v>0.625</v>
      </c>
      <c r="C34" s="160">
        <f t="shared" si="0"/>
        <v>0</v>
      </c>
      <c r="D34" s="199">
        <f t="shared" si="1"/>
        <v>6.252550501547841</v>
      </c>
      <c r="E34" s="160">
        <f t="shared" si="2"/>
        <v>6</v>
      </c>
      <c r="F34" s="79"/>
      <c r="G34" s="79">
        <f t="shared" si="3"/>
        <v>10.999999999999977</v>
      </c>
      <c r="H34" s="79"/>
      <c r="I34" s="79"/>
      <c r="J34" s="171">
        <f t="shared" si="6"/>
        <v>7.2</v>
      </c>
      <c r="K34" s="79">
        <f t="shared" si="4"/>
        <v>3.8</v>
      </c>
      <c r="L34" s="79">
        <f t="shared" si="7"/>
        <v>1</v>
      </c>
    </row>
    <row r="35" spans="1:12" ht="12.75">
      <c r="A35" s="160">
        <v>5</v>
      </c>
      <c r="B35" s="160">
        <f t="shared" si="5"/>
        <v>0.78125</v>
      </c>
      <c r="C35" s="160">
        <f t="shared" si="0"/>
        <v>0</v>
      </c>
      <c r="D35" s="199">
        <f t="shared" si="1"/>
        <v>6.391051394354723</v>
      </c>
      <c r="E35" s="160">
        <f t="shared" si="2"/>
        <v>6</v>
      </c>
      <c r="F35" s="79"/>
      <c r="G35" s="79">
        <f t="shared" si="3"/>
        <v>10.999999999999991</v>
      </c>
      <c r="H35" s="79"/>
      <c r="I35" s="79"/>
      <c r="J35" s="171">
        <f t="shared" si="6"/>
        <v>7.2</v>
      </c>
      <c r="K35" s="79">
        <f t="shared" si="4"/>
        <v>3.8</v>
      </c>
      <c r="L35" s="79">
        <f t="shared" si="7"/>
        <v>1</v>
      </c>
    </row>
    <row r="36" spans="1:12" ht="12.75">
      <c r="A36" s="160">
        <v>6</v>
      </c>
      <c r="B36" s="160">
        <f t="shared" si="5"/>
        <v>0.9375</v>
      </c>
      <c r="C36" s="160">
        <f t="shared" si="0"/>
        <v>0</v>
      </c>
      <c r="D36" s="199">
        <f t="shared" si="1"/>
        <v>6.532620234762115</v>
      </c>
      <c r="E36" s="160">
        <f t="shared" si="2"/>
        <v>6</v>
      </c>
      <c r="F36" s="79"/>
      <c r="G36" s="79">
        <f t="shared" si="3"/>
        <v>10.999999999999979</v>
      </c>
      <c r="H36" s="79"/>
      <c r="I36" s="79"/>
      <c r="J36" s="171">
        <f t="shared" si="6"/>
        <v>7.2</v>
      </c>
      <c r="K36" s="79">
        <f t="shared" si="4"/>
        <v>3.8</v>
      </c>
      <c r="L36" s="79">
        <f t="shared" si="7"/>
        <v>1</v>
      </c>
    </row>
    <row r="37" spans="1:12" ht="12.75">
      <c r="A37" s="160">
        <v>7</v>
      </c>
      <c r="B37" s="160">
        <f t="shared" si="5"/>
        <v>1.09375</v>
      </c>
      <c r="C37" s="160">
        <f t="shared" si="0"/>
        <v>0</v>
      </c>
      <c r="D37" s="199">
        <f t="shared" si="1"/>
        <v>6.677324981194611</v>
      </c>
      <c r="E37" s="160">
        <f t="shared" si="2"/>
        <v>6</v>
      </c>
      <c r="F37" s="79"/>
      <c r="G37" s="79">
        <f t="shared" si="3"/>
        <v>10.99999999999999</v>
      </c>
      <c r="H37" s="79"/>
      <c r="I37" s="79"/>
      <c r="J37" s="171">
        <f t="shared" si="6"/>
        <v>7.2</v>
      </c>
      <c r="K37" s="79">
        <f t="shared" si="4"/>
        <v>3.8</v>
      </c>
      <c r="L37" s="79">
        <f t="shared" si="7"/>
        <v>1</v>
      </c>
    </row>
    <row r="38" spans="1:12" ht="12.75">
      <c r="A38" s="160">
        <v>8</v>
      </c>
      <c r="B38" s="160">
        <f t="shared" si="5"/>
        <v>1.25</v>
      </c>
      <c r="C38" s="160">
        <f t="shared" si="0"/>
        <v>0</v>
      </c>
      <c r="D38" s="199">
        <f t="shared" si="1"/>
        <v>6.825235097430891</v>
      </c>
      <c r="E38" s="160">
        <f t="shared" si="2"/>
        <v>6</v>
      </c>
      <c r="F38" s="79"/>
      <c r="G38" s="79">
        <f t="shared" si="3"/>
        <v>10.999999999999995</v>
      </c>
      <c r="H38" s="79"/>
      <c r="I38" s="79"/>
      <c r="J38" s="171">
        <f t="shared" si="6"/>
        <v>7.2</v>
      </c>
      <c r="K38" s="79">
        <f t="shared" si="4"/>
        <v>3.8</v>
      </c>
      <c r="L38" s="79">
        <f t="shared" si="7"/>
        <v>1</v>
      </c>
    </row>
    <row r="39" spans="1:12" ht="12.75">
      <c r="A39" s="160">
        <v>9</v>
      </c>
      <c r="B39" s="160">
        <f t="shared" si="5"/>
        <v>1.40625</v>
      </c>
      <c r="C39" s="160">
        <f t="shared" si="0"/>
        <v>1</v>
      </c>
      <c r="D39" s="199">
        <f t="shared" si="1"/>
        <v>6.97642158594898</v>
      </c>
      <c r="E39" s="160">
        <f t="shared" si="2"/>
        <v>6</v>
      </c>
      <c r="F39" s="79"/>
      <c r="G39" s="79">
        <f t="shared" si="3"/>
        <v>10.999999999999986</v>
      </c>
      <c r="H39" s="79"/>
      <c r="I39" s="79"/>
      <c r="J39" s="171">
        <f t="shared" si="6"/>
        <v>7.2</v>
      </c>
      <c r="K39" s="79">
        <f t="shared" si="4"/>
        <v>3.8</v>
      </c>
      <c r="L39" s="79">
        <f t="shared" si="7"/>
        <v>1</v>
      </c>
    </row>
    <row r="40" spans="1:12" ht="12.75">
      <c r="A40" s="160">
        <v>10</v>
      </c>
      <c r="B40" s="160">
        <f t="shared" si="5"/>
        <v>1.5625</v>
      </c>
      <c r="C40" s="160">
        <f t="shared" si="0"/>
        <v>1</v>
      </c>
      <c r="D40" s="199">
        <f t="shared" si="1"/>
        <v>7.130957022010143</v>
      </c>
      <c r="E40" s="160">
        <f t="shared" si="2"/>
        <v>7</v>
      </c>
      <c r="F40" s="79"/>
      <c r="G40" s="79">
        <f t="shared" si="3"/>
        <v>10.999999999999991</v>
      </c>
      <c r="H40" s="79"/>
      <c r="I40" s="79"/>
      <c r="J40" s="171">
        <f t="shared" si="6"/>
        <v>7.2</v>
      </c>
      <c r="K40" s="79">
        <f t="shared" si="4"/>
        <v>3.8</v>
      </c>
      <c r="L40" s="79">
        <f t="shared" si="7"/>
        <v>1</v>
      </c>
    </row>
    <row r="41" spans="1:12" ht="12.75">
      <c r="A41" s="160">
        <v>11</v>
      </c>
      <c r="B41" s="160">
        <f t="shared" si="5"/>
        <v>1.71875</v>
      </c>
      <c r="C41" s="160">
        <f t="shared" si="0"/>
        <v>1</v>
      </c>
      <c r="D41" s="199">
        <f t="shared" si="1"/>
        <v>7.288915588497755</v>
      </c>
      <c r="E41" s="160">
        <f t="shared" si="2"/>
        <v>7</v>
      </c>
      <c r="F41" s="79"/>
      <c r="G41" s="79">
        <f t="shared" si="3"/>
        <v>10.999999999999982</v>
      </c>
      <c r="H41" s="79"/>
      <c r="I41" s="79"/>
      <c r="J41" s="171">
        <f t="shared" si="6"/>
        <v>7.2</v>
      </c>
      <c r="K41" s="79">
        <f t="shared" si="4"/>
        <v>3.8</v>
      </c>
      <c r="L41" s="79">
        <f t="shared" si="7"/>
        <v>1</v>
      </c>
    </row>
    <row r="42" spans="1:12" ht="12.75">
      <c r="A42" s="160">
        <v>12</v>
      </c>
      <c r="B42" s="160">
        <f t="shared" si="5"/>
        <v>1.875</v>
      </c>
      <c r="C42" s="160">
        <f t="shared" si="0"/>
        <v>1</v>
      </c>
      <c r="D42" s="199">
        <f t="shared" si="1"/>
        <v>7.450373111527921</v>
      </c>
      <c r="E42" s="160">
        <f t="shared" si="2"/>
        <v>7</v>
      </c>
      <c r="F42" s="79"/>
      <c r="G42" s="79">
        <f t="shared" si="3"/>
        <v>10.999999999999988</v>
      </c>
      <c r="H42" s="79"/>
      <c r="I42" s="79"/>
      <c r="J42" s="171">
        <f t="shared" si="6"/>
        <v>7.2</v>
      </c>
      <c r="K42" s="79">
        <f t="shared" si="4"/>
        <v>3.8</v>
      </c>
      <c r="L42" s="79">
        <f t="shared" si="7"/>
        <v>1</v>
      </c>
    </row>
    <row r="43" spans="1:12" ht="12.75">
      <c r="A43" s="160">
        <v>13</v>
      </c>
      <c r="B43" s="160">
        <f t="shared" si="5"/>
        <v>2.03125</v>
      </c>
      <c r="C43" s="160">
        <f t="shared" si="0"/>
        <v>1</v>
      </c>
      <c r="D43" s="199">
        <f t="shared" si="1"/>
        <v>7.615407096848883</v>
      </c>
      <c r="E43" s="160">
        <f t="shared" si="2"/>
        <v>7</v>
      </c>
      <c r="F43" s="79"/>
      <c r="G43" s="79">
        <f t="shared" si="3"/>
        <v>11.000000000000004</v>
      </c>
      <c r="H43" s="79"/>
      <c r="I43" s="79"/>
      <c r="J43" s="171">
        <f t="shared" si="6"/>
        <v>7.2</v>
      </c>
      <c r="K43" s="79">
        <f t="shared" si="4"/>
        <v>3.8</v>
      </c>
      <c r="L43" s="79">
        <f t="shared" si="7"/>
        <v>1</v>
      </c>
    </row>
    <row r="44" spans="1:12" ht="12.75">
      <c r="A44" s="160">
        <v>14</v>
      </c>
      <c r="B44" s="160">
        <f t="shared" si="5"/>
        <v>2.1875</v>
      </c>
      <c r="C44" s="160">
        <f t="shared" si="0"/>
        <v>1</v>
      </c>
      <c r="D44" s="199">
        <f t="shared" si="1"/>
        <v>7.784096767046719</v>
      </c>
      <c r="E44" s="160">
        <f t="shared" si="2"/>
        <v>7</v>
      </c>
      <c r="F44" s="79"/>
      <c r="G44" s="79">
        <f t="shared" si="3"/>
        <v>10.999999999999996</v>
      </c>
      <c r="H44" s="79"/>
      <c r="I44" s="79"/>
      <c r="J44" s="171">
        <f t="shared" si="6"/>
        <v>7.2</v>
      </c>
      <c r="K44" s="79">
        <f t="shared" si="4"/>
        <v>3.8</v>
      </c>
      <c r="L44" s="79">
        <f t="shared" si="7"/>
        <v>1</v>
      </c>
    </row>
    <row r="45" spans="1:12" ht="12.75">
      <c r="A45" s="160">
        <v>15</v>
      </c>
      <c r="B45" s="160">
        <f t="shared" si="5"/>
        <v>2.34375</v>
      </c>
      <c r="C45" s="160">
        <f t="shared" si="0"/>
        <v>2</v>
      </c>
      <c r="D45" s="199">
        <f t="shared" si="1"/>
        <v>7.956523099575219</v>
      </c>
      <c r="E45" s="160">
        <f t="shared" si="2"/>
        <v>7</v>
      </c>
      <c r="F45" s="79"/>
      <c r="G45" s="79">
        <f t="shared" si="3"/>
        <v>10.999999999999993</v>
      </c>
      <c r="H45" s="79"/>
      <c r="I45" s="79"/>
      <c r="J45" s="171">
        <f t="shared" si="6"/>
        <v>7.2</v>
      </c>
      <c r="K45" s="79">
        <f t="shared" si="4"/>
        <v>3.8</v>
      </c>
      <c r="L45" s="79">
        <f t="shared" si="7"/>
        <v>1</v>
      </c>
    </row>
    <row r="46" spans="1:12" ht="12.75">
      <c r="A46" s="160">
        <v>16</v>
      </c>
      <c r="B46" s="160">
        <f t="shared" si="5"/>
        <v>2.5</v>
      </c>
      <c r="C46" s="160">
        <f t="shared" si="0"/>
        <v>2</v>
      </c>
      <c r="D46" s="199">
        <f t="shared" si="1"/>
        <v>8.132768865628117</v>
      </c>
      <c r="E46" s="160">
        <f t="shared" si="2"/>
        <v>8</v>
      </c>
      <c r="F46" s="79"/>
      <c r="G46" s="79">
        <f t="shared" si="3"/>
        <v>10.999999999999986</v>
      </c>
      <c r="H46" s="79"/>
      <c r="I46" s="79"/>
      <c r="J46" s="171">
        <f t="shared" si="6"/>
        <v>7.2</v>
      </c>
      <c r="K46" s="79">
        <f t="shared" si="4"/>
        <v>3.8</v>
      </c>
      <c r="L46" s="79">
        <f t="shared" si="7"/>
        <v>1</v>
      </c>
    </row>
    <row r="47" spans="1:12" ht="12.75">
      <c r="A47" s="160">
        <v>17</v>
      </c>
      <c r="B47" s="160">
        <f t="shared" si="5"/>
        <v>2.65625</v>
      </c>
      <c r="C47" s="160">
        <f t="shared" si="0"/>
        <v>2</v>
      </c>
      <c r="D47" s="199">
        <f t="shared" si="1"/>
        <v>8.31291866987243</v>
      </c>
      <c r="E47" s="160">
        <f t="shared" si="2"/>
        <v>8</v>
      </c>
      <c r="F47" s="79"/>
      <c r="G47" s="79">
        <f t="shared" si="3"/>
        <v>10.999999999999998</v>
      </c>
      <c r="H47" s="79"/>
      <c r="I47" s="79"/>
      <c r="J47" s="171">
        <f t="shared" si="6"/>
        <v>7.2</v>
      </c>
      <c r="K47" s="79">
        <f t="shared" si="4"/>
        <v>3.8</v>
      </c>
      <c r="L47" s="79">
        <f t="shared" si="7"/>
        <v>1</v>
      </c>
    </row>
    <row r="48" spans="1:12" ht="12.75">
      <c r="A48" s="160">
        <v>18</v>
      </c>
      <c r="B48" s="160">
        <f t="shared" si="5"/>
        <v>2.8125</v>
      </c>
      <c r="C48" s="160">
        <f t="shared" si="0"/>
        <v>2</v>
      </c>
      <c r="D48" s="199">
        <f t="shared" si="1"/>
        <v>8.497058991061886</v>
      </c>
      <c r="E48" s="160">
        <f t="shared" si="2"/>
        <v>8</v>
      </c>
      <c r="F48" s="79"/>
      <c r="G48" s="79">
        <f t="shared" si="3"/>
        <v>10.999999999999993</v>
      </c>
      <c r="H48" s="79"/>
      <c r="I48" s="79"/>
      <c r="J48" s="171">
        <f t="shared" si="6"/>
        <v>7.2</v>
      </c>
      <c r="K48" s="79">
        <f t="shared" si="4"/>
        <v>3.8</v>
      </c>
      <c r="L48" s="79">
        <f t="shared" si="7"/>
        <v>1</v>
      </c>
    </row>
    <row r="49" spans="1:12" ht="12.75">
      <c r="A49" s="160">
        <v>19</v>
      </c>
      <c r="B49" s="160">
        <f t="shared" si="5"/>
        <v>2.96875</v>
      </c>
      <c r="C49" s="160">
        <f t="shared" si="0"/>
        <v>3</v>
      </c>
      <c r="D49" s="199">
        <f t="shared" si="1"/>
        <v>8.685278223550052</v>
      </c>
      <c r="E49" s="160">
        <f t="shared" si="2"/>
        <v>8</v>
      </c>
      <c r="F49" s="79"/>
      <c r="G49" s="79">
        <f t="shared" si="3"/>
        <v>11.000000000000002</v>
      </c>
      <c r="H49" s="79"/>
      <c r="I49" s="79"/>
      <c r="J49" s="171">
        <f t="shared" si="6"/>
        <v>7.2</v>
      </c>
      <c r="K49" s="79">
        <f t="shared" si="4"/>
        <v>3.8</v>
      </c>
      <c r="L49" s="79">
        <f t="shared" si="7"/>
        <v>1</v>
      </c>
    </row>
    <row r="50" spans="1:12" ht="12.75">
      <c r="A50" s="160">
        <v>20</v>
      </c>
      <c r="B50" s="160">
        <f t="shared" si="5"/>
        <v>3.125</v>
      </c>
      <c r="C50" s="160">
        <f t="shared" si="0"/>
        <v>3</v>
      </c>
      <c r="D50" s="199">
        <f t="shared" si="1"/>
        <v>8.877666719722942</v>
      </c>
      <c r="E50" s="160">
        <f t="shared" si="2"/>
        <v>8</v>
      </c>
      <c r="F50" s="79"/>
      <c r="G50" s="79">
        <f t="shared" si="3"/>
        <v>10.999999999999998</v>
      </c>
      <c r="H50" s="79"/>
      <c r="I50" s="79"/>
      <c r="J50" s="171">
        <f t="shared" si="6"/>
        <v>7.2</v>
      </c>
      <c r="K50" s="79">
        <f t="shared" si="4"/>
        <v>3.8</v>
      </c>
      <c r="L50" s="79">
        <f t="shared" si="7"/>
        <v>1</v>
      </c>
    </row>
    <row r="51" spans="1:12" ht="12.75">
      <c r="A51" s="160">
        <v>21</v>
      </c>
      <c r="B51" s="160">
        <f t="shared" si="5"/>
        <v>3.28125</v>
      </c>
      <c r="C51" s="160">
        <f t="shared" si="0"/>
        <v>3</v>
      </c>
      <c r="D51" s="199">
        <f t="shared" si="1"/>
        <v>9.074316833371633</v>
      </c>
      <c r="E51" s="160">
        <f t="shared" si="2"/>
        <v>9</v>
      </c>
      <c r="F51" s="79"/>
      <c r="G51" s="79">
        <f t="shared" si="3"/>
        <v>10.999999999999995</v>
      </c>
      <c r="H51" s="79"/>
      <c r="I51" s="79"/>
      <c r="J51" s="171">
        <f t="shared" si="6"/>
        <v>7.2</v>
      </c>
      <c r="K51" s="79">
        <f t="shared" si="4"/>
        <v>3.8</v>
      </c>
      <c r="L51" s="79">
        <f t="shared" si="7"/>
        <v>1</v>
      </c>
    </row>
    <row r="52" spans="1:12" ht="12.75">
      <c r="A52" s="160">
        <v>22</v>
      </c>
      <c r="B52" s="160">
        <f t="shared" si="5"/>
        <v>3.4375</v>
      </c>
      <c r="C52" s="160">
        <f t="shared" si="0"/>
        <v>4</v>
      </c>
      <c r="D52" s="199">
        <f t="shared" si="1"/>
        <v>9.275322964025571</v>
      </c>
      <c r="E52" s="160">
        <f t="shared" si="2"/>
        <v>9</v>
      </c>
      <c r="F52" s="79"/>
      <c r="G52" s="79">
        <f t="shared" si="3"/>
        <v>10.99999999999999</v>
      </c>
      <c r="H52" s="79"/>
      <c r="I52" s="79"/>
      <c r="J52" s="171">
        <f t="shared" si="6"/>
        <v>7.2</v>
      </c>
      <c r="K52" s="79">
        <f t="shared" si="4"/>
        <v>3.8</v>
      </c>
      <c r="L52" s="79">
        <f t="shared" si="7"/>
        <v>1</v>
      </c>
    </row>
    <row r="53" spans="1:12" ht="12.75">
      <c r="A53" s="160">
        <v>23</v>
      </c>
      <c r="B53" s="160">
        <f t="shared" si="5"/>
        <v>3.59375</v>
      </c>
      <c r="C53" s="160">
        <f t="shared" si="0"/>
        <v>4</v>
      </c>
      <c r="D53" s="199">
        <f t="shared" si="1"/>
        <v>9.480781602267951</v>
      </c>
      <c r="E53" s="160">
        <f t="shared" si="2"/>
        <v>9</v>
      </c>
      <c r="F53" s="79"/>
      <c r="G53" s="79">
        <f t="shared" si="3"/>
        <v>11</v>
      </c>
      <c r="H53" s="79"/>
      <c r="I53" s="79"/>
      <c r="J53" s="171">
        <f t="shared" si="6"/>
        <v>7.2</v>
      </c>
      <c r="K53" s="79">
        <f t="shared" si="4"/>
        <v>3.8</v>
      </c>
      <c r="L53" s="79">
        <f t="shared" si="7"/>
        <v>1</v>
      </c>
    </row>
    <row r="54" spans="1:12" ht="12.75">
      <c r="A54" s="160">
        <v>24</v>
      </c>
      <c r="B54" s="160">
        <f t="shared" si="5"/>
        <v>3.75</v>
      </c>
      <c r="C54" s="160">
        <f t="shared" si="0"/>
        <v>4</v>
      </c>
      <c r="D54" s="199">
        <f t="shared" si="1"/>
        <v>9.69079137605484</v>
      </c>
      <c r="E54" s="160">
        <f t="shared" si="2"/>
        <v>9</v>
      </c>
      <c r="F54" s="79"/>
      <c r="G54" s="79">
        <f t="shared" si="3"/>
        <v>10.999999999999993</v>
      </c>
      <c r="H54" s="79"/>
      <c r="I54" s="79"/>
      <c r="J54" s="171">
        <f t="shared" si="6"/>
        <v>7.2</v>
      </c>
      <c r="K54" s="79">
        <f t="shared" si="4"/>
        <v>3.8</v>
      </c>
      <c r="L54" s="79">
        <f t="shared" si="7"/>
        <v>1</v>
      </c>
    </row>
    <row r="55" spans="1:12" ht="12.75">
      <c r="A55" s="160">
        <v>25</v>
      </c>
      <c r="B55" s="160">
        <f t="shared" si="5"/>
        <v>3.90625</v>
      </c>
      <c r="C55" s="160">
        <f t="shared" si="0"/>
        <v>5</v>
      </c>
      <c r="D55" s="199">
        <f t="shared" si="1"/>
        <v>9.905453098060372</v>
      </c>
      <c r="E55" s="160">
        <f t="shared" si="2"/>
        <v>9</v>
      </c>
      <c r="F55" s="79"/>
      <c r="G55" s="79">
        <f t="shared" si="3"/>
        <v>10.999999999999993</v>
      </c>
      <c r="H55" s="79"/>
      <c r="I55" s="79"/>
      <c r="J55" s="171">
        <f t="shared" si="6"/>
        <v>7.2</v>
      </c>
      <c r="K55" s="79">
        <f t="shared" si="4"/>
        <v>3.8</v>
      </c>
      <c r="L55" s="79">
        <f t="shared" si="7"/>
        <v>1</v>
      </c>
    </row>
    <row r="56" spans="1:12" ht="12.75">
      <c r="A56" s="160">
        <v>26</v>
      </c>
      <c r="B56" s="160">
        <f t="shared" si="5"/>
        <v>4.0625</v>
      </c>
      <c r="C56" s="160">
        <f t="shared" si="0"/>
        <v>5</v>
      </c>
      <c r="D56" s="199">
        <f t="shared" si="1"/>
        <v>10.124869814070653</v>
      </c>
      <c r="E56" s="160">
        <f t="shared" si="2"/>
        <v>10</v>
      </c>
      <c r="F56" s="79"/>
      <c r="G56" s="79">
        <f t="shared" si="3"/>
        <v>10.999999999999998</v>
      </c>
      <c r="H56" s="79"/>
      <c r="I56" s="79"/>
      <c r="J56" s="171">
        <f t="shared" si="6"/>
        <v>7.2</v>
      </c>
      <c r="K56" s="79">
        <f t="shared" si="4"/>
        <v>3.8</v>
      </c>
      <c r="L56" s="79">
        <f t="shared" si="7"/>
        <v>1</v>
      </c>
    </row>
    <row r="57" spans="1:12" ht="12.75">
      <c r="A57" s="160">
        <v>27</v>
      </c>
      <c r="B57" s="160">
        <f t="shared" si="5"/>
        <v>4.21875</v>
      </c>
      <c r="C57" s="160">
        <f t="shared" si="0"/>
        <v>5</v>
      </c>
      <c r="D57" s="199">
        <f t="shared" si="1"/>
        <v>10.349146852449644</v>
      </c>
      <c r="E57" s="160">
        <f t="shared" si="2"/>
        <v>10</v>
      </c>
      <c r="F57" s="79"/>
      <c r="G57" s="79">
        <f t="shared" si="3"/>
        <v>10.999999999999995</v>
      </c>
      <c r="H57" s="79"/>
      <c r="I57" s="79"/>
      <c r="J57" s="171">
        <f t="shared" si="6"/>
        <v>7.2</v>
      </c>
      <c r="K57" s="79">
        <f t="shared" si="4"/>
        <v>3.8</v>
      </c>
      <c r="L57" s="79">
        <f t="shared" si="7"/>
        <v>1</v>
      </c>
    </row>
    <row r="58" spans="1:12" ht="12.75">
      <c r="A58" s="160">
        <v>28</v>
      </c>
      <c r="B58" s="160">
        <f t="shared" si="5"/>
        <v>4.375</v>
      </c>
      <c r="C58" s="160">
        <f t="shared" si="0"/>
        <v>6</v>
      </c>
      <c r="D58" s="199">
        <f t="shared" si="1"/>
        <v>10.578391874700797</v>
      </c>
      <c r="E58" s="160">
        <f t="shared" si="2"/>
        <v>10</v>
      </c>
      <c r="F58" s="79"/>
      <c r="G58" s="79">
        <f t="shared" si="3"/>
        <v>10.999999999999993</v>
      </c>
      <c r="H58" s="79"/>
      <c r="I58" s="79"/>
      <c r="J58" s="171">
        <f t="shared" si="6"/>
        <v>7.2</v>
      </c>
      <c r="K58" s="79">
        <f t="shared" si="4"/>
        <v>3.8</v>
      </c>
      <c r="L58" s="79">
        <f t="shared" si="7"/>
        <v>1</v>
      </c>
    </row>
    <row r="59" spans="1:12" ht="12.75">
      <c r="A59" s="160">
        <v>29</v>
      </c>
      <c r="B59" s="160">
        <f t="shared" si="5"/>
        <v>4.53125</v>
      </c>
      <c r="C59" s="160">
        <f t="shared" si="0"/>
        <v>6</v>
      </c>
      <c r="D59" s="199">
        <f t="shared" si="1"/>
        <v>10.812714927148665</v>
      </c>
      <c r="E59" s="160">
        <f t="shared" si="2"/>
        <v>10</v>
      </c>
      <c r="F59" s="79"/>
      <c r="G59" s="79">
        <f t="shared" si="3"/>
        <v>11</v>
      </c>
      <c r="H59" s="79"/>
      <c r="I59" s="79"/>
      <c r="J59" s="171">
        <f t="shared" si="6"/>
        <v>7.2</v>
      </c>
      <c r="K59" s="79">
        <f t="shared" si="4"/>
        <v>3.8</v>
      </c>
      <c r="L59" s="79">
        <f t="shared" si="7"/>
        <v>1</v>
      </c>
    </row>
    <row r="60" spans="1:12" ht="12.75">
      <c r="A60" s="160">
        <v>30</v>
      </c>
      <c r="B60" s="160">
        <f t="shared" si="5"/>
        <v>4.6875</v>
      </c>
      <c r="C60" s="160">
        <f t="shared" si="0"/>
        <v>7</v>
      </c>
      <c r="D60" s="199">
        <f t="shared" si="1"/>
        <v>11.052228493765309</v>
      </c>
      <c r="E60" s="160">
        <f t="shared" si="2"/>
        <v>11</v>
      </c>
      <c r="F60" s="79"/>
      <c r="G60" s="79">
        <f t="shared" si="3"/>
        <v>11.000000000000004</v>
      </c>
      <c r="H60" s="79"/>
      <c r="I60" s="79"/>
      <c r="J60" s="171">
        <f t="shared" si="6"/>
        <v>7.2</v>
      </c>
      <c r="K60" s="79">
        <f t="shared" si="4"/>
        <v>3.8</v>
      </c>
      <c r="L60" s="79">
        <f t="shared" si="7"/>
        <v>1</v>
      </c>
    </row>
    <row r="61" spans="1:12" ht="12.75">
      <c r="A61" s="160">
        <v>31</v>
      </c>
      <c r="B61" s="160">
        <f t="shared" si="5"/>
        <v>4.84375</v>
      </c>
      <c r="C61" s="160">
        <f t="shared" si="0"/>
        <v>7</v>
      </c>
      <c r="D61" s="199">
        <f t="shared" si="1"/>
        <v>11.297047550166884</v>
      </c>
      <c r="E61" s="160">
        <f t="shared" si="2"/>
        <v>11</v>
      </c>
      <c r="F61" s="79"/>
      <c r="G61" s="79">
        <f t="shared" si="3"/>
        <v>11.000000000000002</v>
      </c>
      <c r="H61" s="79"/>
      <c r="I61" s="79"/>
      <c r="J61" s="171">
        <f t="shared" si="6"/>
        <v>7.2</v>
      </c>
      <c r="K61" s="79">
        <f t="shared" si="4"/>
        <v>3.8</v>
      </c>
      <c r="L61" s="79">
        <f t="shared" si="7"/>
        <v>1</v>
      </c>
    </row>
    <row r="62" spans="1:12" ht="12.75">
      <c r="A62" s="160">
        <v>32</v>
      </c>
      <c r="B62" s="160">
        <f t="shared" si="5"/>
        <v>5</v>
      </c>
      <c r="C62" s="160">
        <f aca="true" t="shared" si="8" ref="C62:C93">INT(((B62*SQRT(des_pres_w))/(des_spd_w))^2+0.5)</f>
        <v>8</v>
      </c>
      <c r="D62" s="199">
        <f aca="true" t="shared" si="9" ref="D62:D93">IF(alg=2,EXP(((des_GPA*B62/5940)-(nz1_pwr*valv1_stat/noz_spc_w)-(nz2_pwr*valv2_stat/spray_width_2))/((nz1_cons*valv1_stat/noz_spc_w)+(nz2_cons*valv2_stat/spray_width_2))),IF(alg=1,EXP(((des_GPA*B62/5940)-(nz1_pwr*valv1_stat/spray_width)-(nz2_pwr*valv2_stat/spray_width_2))/((nz1_cons*valv1_stat/spray_width)+(nz2_cons*valv2_stat/spray_width_2))),EXP(((des_GPA*B62/5940)-(nz1_pwr*valv1_stat/noz_spc_w)-(nz2_pwr*valv2_stat/noz_spc_w))/((nz1_cons*valv1_stat/noz_spc_w)+(nz2_cons*valv2_stat/noz_spc_w)))))</f>
        <v>11.54728961880632</v>
      </c>
      <c r="E62" s="160">
        <f t="shared" si="2"/>
        <v>11</v>
      </c>
      <c r="F62" s="79"/>
      <c r="G62" s="79">
        <f t="shared" si="3"/>
        <v>10.999999999999995</v>
      </c>
      <c r="H62" s="79"/>
      <c r="I62" s="79"/>
      <c r="J62" s="171">
        <f t="shared" si="6"/>
        <v>7.2</v>
      </c>
      <c r="K62" s="79">
        <f t="shared" si="4"/>
        <v>3.8</v>
      </c>
      <c r="L62" s="79">
        <f t="shared" si="7"/>
        <v>1</v>
      </c>
    </row>
    <row r="63" spans="1:12" ht="12.75">
      <c r="A63" s="160">
        <v>33</v>
      </c>
      <c r="B63" s="160">
        <f t="shared" si="5"/>
        <v>5.15625</v>
      </c>
      <c r="C63" s="160">
        <f t="shared" si="8"/>
        <v>8</v>
      </c>
      <c r="D63" s="199">
        <f t="shared" si="9"/>
        <v>11.803074825388563</v>
      </c>
      <c r="E63" s="160">
        <f t="shared" si="2"/>
        <v>11</v>
      </c>
      <c r="F63" s="79"/>
      <c r="G63" s="79">
        <f aca="true" t="shared" si="10" ref="G63:G94">IF(alg=3,(LN(D63)*(nz1_cons*valv1_stat+nz2_cons*valv2_stat)+((nz1_pwr*valv1_stat+nz2_pwr*valv2_stat)))*5940/(noz_spc_w*B63),IF(alg=1,((LN(D63)*nz1_cons+nz1_pwr)*5940/(spray_width*B63)*valv1_stat)+((LN(D63)*nz2_cons+nz2_pwr)*5940/(spray_width_2*B63)*valv2_stat),((nz1_cons*LN(D63)+nz1_pwr)*5940/(B63*noz_spc_w))+((nz2_cons*LN(D63)+nz2_pwr)*5940/(B63*spray_width_2))))</f>
        <v>10.999999999999996</v>
      </c>
      <c r="H63" s="79"/>
      <c r="I63" s="79"/>
      <c r="J63" s="171">
        <f aca="true" t="shared" si="11" ref="J63:J94">IF(alg=1,ROUND(((valv1_stat*nz1_cons*LN(D63)+valv1_stat*nz1_pwr)*5940/(B63*spray_width)),2),ROUND(((valv1_stat*nz1_cons*LN(D63)+valv1_stat*nz1_pwr)*5940/(B63*noz_spc_w)),2))</f>
        <v>7.2</v>
      </c>
      <c r="K63" s="79">
        <f aca="true" t="shared" si="12" ref="K63:K94">IF(alg=3,ROUND(((valv2_stat*nz2_cons*LN(D63)+valv2_stat*nz2_pwr)*5940/(B63*noz_spc_w)),2),ROUND(((valv2_stat*nz2_cons*LN(D63)+valv2_stat*nz2_pwr)*5940/(B63*spray_width_2)),2))</f>
        <v>3.8</v>
      </c>
      <c r="L63" s="79">
        <f t="shared" si="7"/>
        <v>1</v>
      </c>
    </row>
    <row r="64" spans="1:12" ht="12.75">
      <c r="A64" s="160">
        <v>34</v>
      </c>
      <c r="B64" s="160">
        <f t="shared" si="5"/>
        <v>5.3125</v>
      </c>
      <c r="C64" s="160">
        <f t="shared" si="8"/>
        <v>8</v>
      </c>
      <c r="D64" s="199">
        <f t="shared" si="9"/>
        <v>12.064525956535459</v>
      </c>
      <c r="E64" s="160">
        <f t="shared" si="2"/>
        <v>12</v>
      </c>
      <c r="F64" s="79"/>
      <c r="G64" s="79">
        <f t="shared" si="10"/>
        <v>10.999999999999998</v>
      </c>
      <c r="H64" s="79"/>
      <c r="I64" s="79"/>
      <c r="J64" s="171">
        <f t="shared" si="11"/>
        <v>7.2</v>
      </c>
      <c r="K64" s="79">
        <f t="shared" si="12"/>
        <v>3.8</v>
      </c>
      <c r="L64" s="79">
        <f t="shared" si="7"/>
        <v>1</v>
      </c>
    </row>
    <row r="65" spans="1:12" ht="12.75">
      <c r="A65" s="160">
        <v>35</v>
      </c>
      <c r="B65" s="160">
        <f t="shared" si="5"/>
        <v>5.46875</v>
      </c>
      <c r="C65" s="160">
        <f t="shared" si="8"/>
        <v>9</v>
      </c>
      <c r="D65" s="199">
        <f t="shared" si="9"/>
        <v>12.331768518728005</v>
      </c>
      <c r="E65" s="160">
        <f t="shared" si="2"/>
        <v>12</v>
      </c>
      <c r="F65" s="79"/>
      <c r="G65" s="79">
        <f t="shared" si="10"/>
        <v>11</v>
      </c>
      <c r="H65" s="79"/>
      <c r="I65" s="79"/>
      <c r="J65" s="171">
        <f t="shared" si="11"/>
        <v>7.2</v>
      </c>
      <c r="K65" s="79">
        <f t="shared" si="12"/>
        <v>3.8</v>
      </c>
      <c r="L65" s="79">
        <f t="shared" si="7"/>
        <v>1</v>
      </c>
    </row>
    <row r="66" spans="1:12" ht="12.75">
      <c r="A66" s="160">
        <v>36</v>
      </c>
      <c r="B66" s="160">
        <f t="shared" si="5"/>
        <v>5.625</v>
      </c>
      <c r="C66" s="160">
        <f t="shared" si="8"/>
        <v>9</v>
      </c>
      <c r="D66" s="199">
        <f t="shared" si="9"/>
        <v>12.604930798554268</v>
      </c>
      <c r="E66" s="160">
        <f t="shared" si="2"/>
        <v>12</v>
      </c>
      <c r="F66" s="79"/>
      <c r="G66" s="79">
        <f t="shared" si="10"/>
        <v>11</v>
      </c>
      <c r="H66" s="79"/>
      <c r="I66" s="79"/>
      <c r="J66" s="171">
        <f t="shared" si="11"/>
        <v>7.2</v>
      </c>
      <c r="K66" s="79">
        <f t="shared" si="12"/>
        <v>3.8</v>
      </c>
      <c r="L66" s="79">
        <f t="shared" si="7"/>
        <v>1</v>
      </c>
    </row>
    <row r="67" spans="1:12" ht="12.75">
      <c r="A67" s="160">
        <v>37</v>
      </c>
      <c r="B67" s="160">
        <f t="shared" si="5"/>
        <v>5.78125</v>
      </c>
      <c r="C67" s="160">
        <f t="shared" si="8"/>
        <v>10</v>
      </c>
      <c r="D67" s="199">
        <f t="shared" si="9"/>
        <v>12.884143924291756</v>
      </c>
      <c r="E67" s="160">
        <f t="shared" si="2"/>
        <v>12</v>
      </c>
      <c r="F67" s="79"/>
      <c r="G67" s="79">
        <f t="shared" si="10"/>
        <v>10.999999999999993</v>
      </c>
      <c r="H67" s="79"/>
      <c r="I67" s="79"/>
      <c r="J67" s="171">
        <f t="shared" si="11"/>
        <v>7.2</v>
      </c>
      <c r="K67" s="79">
        <f t="shared" si="12"/>
        <v>3.8</v>
      </c>
      <c r="L67" s="79">
        <f t="shared" si="7"/>
        <v>1</v>
      </c>
    </row>
    <row r="68" spans="1:12" ht="12.75">
      <c r="A68" s="160">
        <v>38</v>
      </c>
      <c r="B68" s="160">
        <f t="shared" si="5"/>
        <v>5.9375</v>
      </c>
      <c r="C68" s="160">
        <f t="shared" si="8"/>
        <v>11</v>
      </c>
      <c r="D68" s="199">
        <f t="shared" si="9"/>
        <v>13.169541928854061</v>
      </c>
      <c r="E68" s="160">
        <f t="shared" si="2"/>
        <v>13</v>
      </c>
      <c r="F68" s="79"/>
      <c r="G68" s="79">
        <f t="shared" si="10"/>
        <v>10.999999999999995</v>
      </c>
      <c r="H68" s="79"/>
      <c r="I68" s="79"/>
      <c r="J68" s="171">
        <f t="shared" si="11"/>
        <v>7.2</v>
      </c>
      <c r="K68" s="79">
        <f t="shared" si="12"/>
        <v>3.8</v>
      </c>
      <c r="L68" s="79">
        <f t="shared" si="7"/>
        <v>1</v>
      </c>
    </row>
    <row r="69" spans="1:12" ht="12.75">
      <c r="A69" s="160">
        <v>39</v>
      </c>
      <c r="B69" s="160">
        <f t="shared" si="5"/>
        <v>6.09375</v>
      </c>
      <c r="C69" s="160">
        <f t="shared" si="8"/>
        <v>11</v>
      </c>
      <c r="D69" s="199">
        <f t="shared" si="9"/>
        <v>13.46126181413166</v>
      </c>
      <c r="E69" s="160">
        <f t="shared" si="2"/>
        <v>13</v>
      </c>
      <c r="F69" s="79"/>
      <c r="G69" s="79">
        <f t="shared" si="10"/>
        <v>10.999999999999998</v>
      </c>
      <c r="H69" s="79"/>
      <c r="I69" s="79"/>
      <c r="J69" s="171">
        <f t="shared" si="11"/>
        <v>7.2</v>
      </c>
      <c r="K69" s="79">
        <f t="shared" si="12"/>
        <v>3.8</v>
      </c>
      <c r="L69" s="79">
        <f t="shared" si="7"/>
        <v>1</v>
      </c>
    </row>
    <row r="70" spans="1:12" ht="12.75">
      <c r="A70" s="160">
        <v>40</v>
      </c>
      <c r="B70" s="160">
        <f t="shared" si="5"/>
        <v>6.25</v>
      </c>
      <c r="C70" s="160">
        <f t="shared" si="8"/>
        <v>12</v>
      </c>
      <c r="D70" s="199">
        <f t="shared" si="9"/>
        <v>13.75944361675811</v>
      </c>
      <c r="E70" s="160">
        <f t="shared" si="2"/>
        <v>13</v>
      </c>
      <c r="F70" s="79"/>
      <c r="G70" s="79">
        <f t="shared" si="10"/>
        <v>10.999999999999998</v>
      </c>
      <c r="H70" s="79"/>
      <c r="I70" s="79"/>
      <c r="J70" s="171">
        <f t="shared" si="11"/>
        <v>7.2</v>
      </c>
      <c r="K70" s="79">
        <f t="shared" si="12"/>
        <v>3.8</v>
      </c>
      <c r="L70" s="79">
        <f t="shared" si="7"/>
        <v>1</v>
      </c>
    </row>
    <row r="71" spans="1:12" ht="12.75">
      <c r="A71" s="160">
        <v>41</v>
      </c>
      <c r="B71" s="160">
        <f t="shared" si="5"/>
        <v>6.40625</v>
      </c>
      <c r="C71" s="160">
        <f t="shared" si="8"/>
        <v>12</v>
      </c>
      <c r="D71" s="199">
        <f t="shared" si="9"/>
        <v>14.06423047533289</v>
      </c>
      <c r="E71" s="160">
        <f t="shared" si="2"/>
        <v>14</v>
      </c>
      <c r="F71" s="79"/>
      <c r="G71" s="79">
        <f t="shared" si="10"/>
        <v>11</v>
      </c>
      <c r="H71" s="79"/>
      <c r="I71" s="79"/>
      <c r="J71" s="171">
        <f t="shared" si="11"/>
        <v>7.2</v>
      </c>
      <c r="K71" s="79">
        <f t="shared" si="12"/>
        <v>3.8</v>
      </c>
      <c r="L71" s="79">
        <f t="shared" si="7"/>
        <v>1</v>
      </c>
    </row>
    <row r="72" spans="1:12" ht="12.75">
      <c r="A72" s="160">
        <v>42</v>
      </c>
      <c r="B72" s="160">
        <f t="shared" si="5"/>
        <v>6.5625</v>
      </c>
      <c r="C72" s="160">
        <f t="shared" si="8"/>
        <v>13</v>
      </c>
      <c r="D72" s="199">
        <f t="shared" si="9"/>
        <v>14.375768699133422</v>
      </c>
      <c r="E72" s="160">
        <f t="shared" si="2"/>
        <v>14</v>
      </c>
      <c r="F72" s="79"/>
      <c r="G72" s="79">
        <f t="shared" si="10"/>
        <v>10.999999999999995</v>
      </c>
      <c r="H72" s="79"/>
      <c r="I72" s="79"/>
      <c r="J72" s="171">
        <f t="shared" si="11"/>
        <v>7.2</v>
      </c>
      <c r="K72" s="79">
        <f t="shared" si="12"/>
        <v>3.8</v>
      </c>
      <c r="L72" s="79">
        <f t="shared" si="7"/>
        <v>1</v>
      </c>
    </row>
    <row r="73" spans="1:12" ht="12.75">
      <c r="A73" s="160">
        <v>43</v>
      </c>
      <c r="B73" s="160">
        <f t="shared" si="5"/>
        <v>6.71875</v>
      </c>
      <c r="C73" s="160">
        <f t="shared" si="8"/>
        <v>14</v>
      </c>
      <c r="D73" s="199">
        <f t="shared" si="9"/>
        <v>14.694207838349058</v>
      </c>
      <c r="E73" s="160">
        <f t="shared" si="2"/>
        <v>14</v>
      </c>
      <c r="F73" s="79"/>
      <c r="G73" s="79">
        <f t="shared" si="10"/>
        <v>10.999999999999995</v>
      </c>
      <c r="H73" s="79"/>
      <c r="I73" s="79"/>
      <c r="J73" s="171">
        <f t="shared" si="11"/>
        <v>7.2</v>
      </c>
      <c r="K73" s="79">
        <f t="shared" si="12"/>
        <v>3.8</v>
      </c>
      <c r="L73" s="79">
        <f t="shared" si="7"/>
        <v>1</v>
      </c>
    </row>
    <row r="74" spans="1:12" ht="12.75">
      <c r="A74" s="160">
        <v>44</v>
      </c>
      <c r="B74" s="160">
        <f t="shared" si="5"/>
        <v>6.875</v>
      </c>
      <c r="C74" s="160">
        <f t="shared" si="8"/>
        <v>14</v>
      </c>
      <c r="D74" s="199">
        <f t="shared" si="9"/>
        <v>15.019700755870867</v>
      </c>
      <c r="E74" s="160">
        <f t="shared" si="2"/>
        <v>15</v>
      </c>
      <c r="F74" s="79"/>
      <c r="G74" s="79">
        <f t="shared" si="10"/>
        <v>10.999999999999996</v>
      </c>
      <c r="H74" s="79"/>
      <c r="I74" s="79"/>
      <c r="J74" s="171">
        <f t="shared" si="11"/>
        <v>7.2</v>
      </c>
      <c r="K74" s="79">
        <f t="shared" si="12"/>
        <v>3.8</v>
      </c>
      <c r="L74" s="79">
        <f t="shared" si="7"/>
        <v>1</v>
      </c>
    </row>
    <row r="75" spans="1:12" ht="12.75">
      <c r="A75" s="160">
        <v>45</v>
      </c>
      <c r="B75" s="160">
        <f t="shared" si="5"/>
        <v>7.03125</v>
      </c>
      <c r="C75" s="160">
        <f t="shared" si="8"/>
        <v>15</v>
      </c>
      <c r="D75" s="199">
        <f t="shared" si="9"/>
        <v>15.352403700671603</v>
      </c>
      <c r="E75" s="160">
        <f t="shared" si="2"/>
        <v>15</v>
      </c>
      <c r="F75" s="79"/>
      <c r="G75" s="79">
        <f t="shared" si="10"/>
        <v>10.999999999999996</v>
      </c>
      <c r="H75" s="79"/>
      <c r="I75" s="79"/>
      <c r="J75" s="171">
        <f t="shared" si="11"/>
        <v>7.2</v>
      </c>
      <c r="K75" s="79">
        <f t="shared" si="12"/>
        <v>3.8</v>
      </c>
      <c r="L75" s="79">
        <f t="shared" si="7"/>
        <v>1</v>
      </c>
    </row>
    <row r="76" spans="1:12" ht="12.75">
      <c r="A76" s="160">
        <v>46</v>
      </c>
      <c r="B76" s="160">
        <f t="shared" si="5"/>
        <v>7.1875</v>
      </c>
      <c r="C76" s="160">
        <f t="shared" si="8"/>
        <v>15</v>
      </c>
      <c r="D76" s="199">
        <f t="shared" si="9"/>
        <v>15.69247638281121</v>
      </c>
      <c r="E76" s="160">
        <f t="shared" si="2"/>
        <v>15</v>
      </c>
      <c r="F76" s="79"/>
      <c r="G76" s="79">
        <f t="shared" si="10"/>
        <v>11</v>
      </c>
      <c r="H76" s="79"/>
      <c r="I76" s="79"/>
      <c r="J76" s="171">
        <f t="shared" si="11"/>
        <v>7.2</v>
      </c>
      <c r="K76" s="79">
        <f t="shared" si="12"/>
        <v>3.8</v>
      </c>
      <c r="L76" s="79">
        <f t="shared" si="7"/>
        <v>1</v>
      </c>
    </row>
    <row r="77" spans="1:12" ht="12.75">
      <c r="A77" s="160">
        <v>47</v>
      </c>
      <c r="B77" s="160">
        <f t="shared" si="5"/>
        <v>7.34375</v>
      </c>
      <c r="C77" s="160">
        <f t="shared" si="8"/>
        <v>16</v>
      </c>
      <c r="D77" s="199">
        <f t="shared" si="9"/>
        <v>16.040082050103646</v>
      </c>
      <c r="E77" s="160">
        <f t="shared" si="2"/>
        <v>16</v>
      </c>
      <c r="F77" s="79"/>
      <c r="G77" s="79">
        <f t="shared" si="10"/>
        <v>10.999999999999993</v>
      </c>
      <c r="H77" s="79"/>
      <c r="I77" s="79"/>
      <c r="J77" s="171">
        <f t="shared" si="11"/>
        <v>7.2</v>
      </c>
      <c r="K77" s="79">
        <f t="shared" si="12"/>
        <v>3.8</v>
      </c>
      <c r="L77" s="79">
        <f t="shared" si="7"/>
        <v>1</v>
      </c>
    </row>
    <row r="78" spans="1:12" ht="12.75">
      <c r="A78" s="160">
        <v>48</v>
      </c>
      <c r="B78" s="160">
        <f t="shared" si="5"/>
        <v>7.5</v>
      </c>
      <c r="C78" s="160">
        <f t="shared" si="8"/>
        <v>17</v>
      </c>
      <c r="D78" s="199">
        <f t="shared" si="9"/>
        <v>16.395387566482132</v>
      </c>
      <c r="E78" s="160">
        <f t="shared" si="2"/>
        <v>16</v>
      </c>
      <c r="F78" s="79"/>
      <c r="G78" s="79">
        <f t="shared" si="10"/>
        <v>10.999999999999993</v>
      </c>
      <c r="H78" s="79"/>
      <c r="I78" s="79"/>
      <c r="J78" s="171">
        <f t="shared" si="11"/>
        <v>7.2</v>
      </c>
      <c r="K78" s="79">
        <f t="shared" si="12"/>
        <v>3.8</v>
      </c>
      <c r="L78" s="79">
        <f t="shared" si="7"/>
        <v>1</v>
      </c>
    </row>
    <row r="79" spans="1:12" ht="12.75">
      <c r="A79" s="160">
        <v>49</v>
      </c>
      <c r="B79" s="160">
        <f t="shared" si="5"/>
        <v>7.65625</v>
      </c>
      <c r="C79" s="160">
        <f t="shared" si="8"/>
        <v>18</v>
      </c>
      <c r="D79" s="199">
        <f t="shared" si="9"/>
        <v>16.75856349210008</v>
      </c>
      <c r="E79" s="160">
        <f t="shared" si="2"/>
        <v>16</v>
      </c>
      <c r="F79" s="79"/>
      <c r="G79" s="79">
        <f t="shared" si="10"/>
        <v>10.999999999999996</v>
      </c>
      <c r="H79" s="79"/>
      <c r="I79" s="79"/>
      <c r="J79" s="171">
        <f t="shared" si="11"/>
        <v>7.2</v>
      </c>
      <c r="K79" s="79">
        <f t="shared" si="12"/>
        <v>3.8</v>
      </c>
      <c r="L79" s="79">
        <f t="shared" si="7"/>
        <v>1</v>
      </c>
    </row>
    <row r="80" spans="1:12" ht="12.75">
      <c r="A80" s="160">
        <v>50</v>
      </c>
      <c r="B80" s="160">
        <f t="shared" si="5"/>
        <v>7.8125</v>
      </c>
      <c r="C80" s="160">
        <f t="shared" si="8"/>
        <v>18</v>
      </c>
      <c r="D80" s="199">
        <f t="shared" si="9"/>
        <v>17.129784165206537</v>
      </c>
      <c r="E80" s="160">
        <f t="shared" si="2"/>
        <v>17</v>
      </c>
      <c r="F80" s="79"/>
      <c r="G80" s="79">
        <f t="shared" si="10"/>
        <v>10.999999999999998</v>
      </c>
      <c r="H80" s="79"/>
      <c r="I80" s="79"/>
      <c r="J80" s="171">
        <f t="shared" si="11"/>
        <v>7.2</v>
      </c>
      <c r="K80" s="79">
        <f t="shared" si="12"/>
        <v>3.8</v>
      </c>
      <c r="L80" s="79">
        <f t="shared" si="7"/>
        <v>1</v>
      </c>
    </row>
    <row r="81" spans="1:12" ht="12.75">
      <c r="A81" s="160">
        <v>51</v>
      </c>
      <c r="B81" s="160">
        <f t="shared" si="5"/>
        <v>7.96875</v>
      </c>
      <c r="C81" s="160">
        <f t="shared" si="8"/>
        <v>19</v>
      </c>
      <c r="D81" s="199">
        <f t="shared" si="9"/>
        <v>17.509227785835105</v>
      </c>
      <c r="E81" s="160">
        <f t="shared" si="2"/>
        <v>17</v>
      </c>
      <c r="F81" s="79"/>
      <c r="G81" s="79">
        <f t="shared" si="10"/>
        <v>10.999999999999998</v>
      </c>
      <c r="H81" s="79"/>
      <c r="I81" s="79"/>
      <c r="J81" s="171">
        <f t="shared" si="11"/>
        <v>7.2</v>
      </c>
      <c r="K81" s="79">
        <f t="shared" si="12"/>
        <v>3.8</v>
      </c>
      <c r="L81" s="79">
        <f t="shared" si="7"/>
        <v>1</v>
      </c>
    </row>
    <row r="82" spans="1:12" ht="12.75">
      <c r="A82" s="160">
        <v>52</v>
      </c>
      <c r="B82" s="160">
        <f t="shared" si="5"/>
        <v>8.125</v>
      </c>
      <c r="C82" s="160">
        <f t="shared" si="8"/>
        <v>20</v>
      </c>
      <c r="D82" s="199">
        <f t="shared" si="9"/>
        <v>17.897076501346778</v>
      </c>
      <c r="E82" s="160">
        <f t="shared" si="2"/>
        <v>17</v>
      </c>
      <c r="F82" s="79"/>
      <c r="G82" s="79">
        <f t="shared" si="10"/>
        <v>10.999999999999993</v>
      </c>
      <c r="H82" s="79"/>
      <c r="I82" s="79"/>
      <c r="J82" s="171">
        <f t="shared" si="11"/>
        <v>7.2</v>
      </c>
      <c r="K82" s="79">
        <f t="shared" si="12"/>
        <v>3.8</v>
      </c>
      <c r="L82" s="79">
        <f t="shared" si="7"/>
        <v>1</v>
      </c>
    </row>
    <row r="83" spans="1:12" ht="12.75">
      <c r="A83" s="160">
        <v>53</v>
      </c>
      <c r="B83" s="160">
        <f t="shared" si="5"/>
        <v>8.28125</v>
      </c>
      <c r="C83" s="160">
        <f t="shared" si="8"/>
        <v>21</v>
      </c>
      <c r="D83" s="199">
        <f t="shared" si="9"/>
        <v>18.293516493867596</v>
      </c>
      <c r="E83" s="160">
        <f t="shared" si="2"/>
        <v>18</v>
      </c>
      <c r="F83" s="79"/>
      <c r="G83" s="79">
        <f t="shared" si="10"/>
        <v>11.000000000000004</v>
      </c>
      <c r="H83" s="79"/>
      <c r="I83" s="79"/>
      <c r="J83" s="171">
        <f t="shared" si="11"/>
        <v>7.2</v>
      </c>
      <c r="K83" s="79">
        <f t="shared" si="12"/>
        <v>3.8</v>
      </c>
      <c r="L83" s="79">
        <f t="shared" si="7"/>
        <v>1</v>
      </c>
    </row>
    <row r="84" spans="1:12" ht="12.75">
      <c r="A84" s="160">
        <v>54</v>
      </c>
      <c r="B84" s="160">
        <f t="shared" si="5"/>
        <v>8.4375</v>
      </c>
      <c r="C84" s="160">
        <f t="shared" si="8"/>
        <v>21</v>
      </c>
      <c r="D84" s="199">
        <f t="shared" si="9"/>
        <v>18.698738069663072</v>
      </c>
      <c r="E84" s="160">
        <f t="shared" si="2"/>
        <v>18</v>
      </c>
      <c r="F84" s="79"/>
      <c r="G84" s="79">
        <f t="shared" si="10"/>
        <v>10.999999999999995</v>
      </c>
      <c r="H84" s="79"/>
      <c r="I84" s="79"/>
      <c r="J84" s="171">
        <f t="shared" si="11"/>
        <v>7.2</v>
      </c>
      <c r="K84" s="79">
        <f t="shared" si="12"/>
        <v>3.8</v>
      </c>
      <c r="L84" s="79">
        <f t="shared" si="7"/>
        <v>1</v>
      </c>
    </row>
    <row r="85" spans="1:12" ht="12.75">
      <c r="A85" s="160">
        <v>55</v>
      </c>
      <c r="B85" s="160">
        <f t="shared" si="5"/>
        <v>8.59375</v>
      </c>
      <c r="C85" s="160">
        <f t="shared" si="8"/>
        <v>22</v>
      </c>
      <c r="D85" s="199">
        <f t="shared" si="9"/>
        <v>19.112935750492557</v>
      </c>
      <c r="E85" s="160">
        <f t="shared" si="2"/>
        <v>19</v>
      </c>
      <c r="F85" s="79"/>
      <c r="G85" s="79">
        <f t="shared" si="10"/>
        <v>10.999999999999996</v>
      </c>
      <c r="H85" s="79"/>
      <c r="I85" s="79"/>
      <c r="J85" s="171">
        <f t="shared" si="11"/>
        <v>7.2</v>
      </c>
      <c r="K85" s="79">
        <f t="shared" si="12"/>
        <v>3.8</v>
      </c>
      <c r="L85" s="79">
        <f t="shared" si="7"/>
        <v>1</v>
      </c>
    </row>
    <row r="86" spans="1:12" ht="12.75">
      <c r="A86" s="160">
        <v>56</v>
      </c>
      <c r="B86" s="160">
        <f t="shared" si="5"/>
        <v>8.75</v>
      </c>
      <c r="C86" s="160">
        <f t="shared" si="8"/>
        <v>23</v>
      </c>
      <c r="D86" s="199">
        <f t="shared" si="9"/>
        <v>19.53630836698698</v>
      </c>
      <c r="E86" s="160">
        <f t="shared" si="2"/>
        <v>19</v>
      </c>
      <c r="F86" s="79"/>
      <c r="G86" s="79">
        <f t="shared" si="10"/>
        <v>10.999999999999996</v>
      </c>
      <c r="H86" s="79"/>
      <c r="I86" s="79"/>
      <c r="J86" s="171">
        <f t="shared" si="11"/>
        <v>7.2</v>
      </c>
      <c r="K86" s="79">
        <f t="shared" si="12"/>
        <v>3.8</v>
      </c>
      <c r="L86" s="79">
        <f t="shared" si="7"/>
        <v>1</v>
      </c>
    </row>
    <row r="87" spans="1:12" ht="12.75">
      <c r="A87" s="160">
        <v>57</v>
      </c>
      <c r="B87" s="160">
        <f t="shared" si="5"/>
        <v>8.90625</v>
      </c>
      <c r="C87" s="160">
        <f t="shared" si="8"/>
        <v>24</v>
      </c>
      <c r="D87" s="199">
        <f t="shared" si="9"/>
        <v>19.969059154095127</v>
      </c>
      <c r="E87" s="160">
        <f t="shared" si="2"/>
        <v>19</v>
      </c>
      <c r="F87" s="79"/>
      <c r="G87" s="79">
        <f t="shared" si="10"/>
        <v>11.000000000000004</v>
      </c>
      <c r="H87" s="79"/>
      <c r="I87" s="79"/>
      <c r="J87" s="171">
        <f t="shared" si="11"/>
        <v>7.2</v>
      </c>
      <c r="K87" s="79">
        <f t="shared" si="12"/>
        <v>3.8</v>
      </c>
      <c r="L87" s="79">
        <f t="shared" si="7"/>
        <v>1</v>
      </c>
    </row>
    <row r="88" spans="1:12" ht="12.75">
      <c r="A88" s="160">
        <v>58</v>
      </c>
      <c r="B88" s="160">
        <f t="shared" si="5"/>
        <v>9.0625</v>
      </c>
      <c r="C88" s="160">
        <f t="shared" si="8"/>
        <v>25</v>
      </c>
      <c r="D88" s="199">
        <f t="shared" si="9"/>
        <v>20.411395848644162</v>
      </c>
      <c r="E88" s="160">
        <f t="shared" si="2"/>
        <v>20</v>
      </c>
      <c r="F88" s="79"/>
      <c r="G88" s="79">
        <f t="shared" si="10"/>
        <v>11</v>
      </c>
      <c r="H88" s="79"/>
      <c r="I88" s="79"/>
      <c r="J88" s="171">
        <f t="shared" si="11"/>
        <v>7.2</v>
      </c>
      <c r="K88" s="79">
        <f t="shared" si="12"/>
        <v>3.8</v>
      </c>
      <c r="L88" s="79">
        <f t="shared" si="7"/>
        <v>1</v>
      </c>
    </row>
    <row r="89" spans="1:12" ht="12.75">
      <c r="A89" s="160">
        <v>59</v>
      </c>
      <c r="B89" s="160">
        <f t="shared" si="5"/>
        <v>9.21875</v>
      </c>
      <c r="C89" s="160">
        <f t="shared" si="8"/>
        <v>25</v>
      </c>
      <c r="D89" s="199">
        <f t="shared" si="9"/>
        <v>20.863530789061194</v>
      </c>
      <c r="E89" s="160">
        <f t="shared" si="2"/>
        <v>20</v>
      </c>
      <c r="F89" s="79"/>
      <c r="G89" s="79">
        <f t="shared" si="10"/>
        <v>10.999999999999995</v>
      </c>
      <c r="H89" s="79"/>
      <c r="I89" s="79"/>
      <c r="J89" s="171">
        <f t="shared" si="11"/>
        <v>7.2</v>
      </c>
      <c r="K89" s="79">
        <f t="shared" si="12"/>
        <v>3.8</v>
      </c>
      <c r="L89" s="79">
        <f t="shared" si="7"/>
        <v>1</v>
      </c>
    </row>
    <row r="90" spans="1:12" ht="12.75">
      <c r="A90" s="160">
        <v>60</v>
      </c>
      <c r="B90" s="160">
        <f t="shared" si="5"/>
        <v>9.375</v>
      </c>
      <c r="C90" s="160">
        <f t="shared" si="8"/>
        <v>26</v>
      </c>
      <c r="D90" s="199">
        <f t="shared" si="9"/>
        <v>21.325681017303822</v>
      </c>
      <c r="E90" s="160">
        <f t="shared" si="2"/>
        <v>21</v>
      </c>
      <c r="F90" s="79"/>
      <c r="G90" s="79">
        <f t="shared" si="10"/>
        <v>10.999999999999996</v>
      </c>
      <c r="H90" s="79"/>
      <c r="I90" s="79"/>
      <c r="J90" s="171">
        <f t="shared" si="11"/>
        <v>7.2</v>
      </c>
      <c r="K90" s="79">
        <f t="shared" si="12"/>
        <v>3.8</v>
      </c>
      <c r="L90" s="79">
        <f t="shared" si="7"/>
        <v>1</v>
      </c>
    </row>
    <row r="91" spans="1:12" ht="12.75">
      <c r="A91" s="160">
        <v>61</v>
      </c>
      <c r="B91" s="160">
        <f t="shared" si="5"/>
        <v>9.53125</v>
      </c>
      <c r="C91" s="160">
        <f t="shared" si="8"/>
        <v>27</v>
      </c>
      <c r="D91" s="199">
        <f t="shared" si="9"/>
        <v>21.798068383048438</v>
      </c>
      <c r="E91" s="160">
        <f t="shared" si="2"/>
        <v>21</v>
      </c>
      <c r="F91" s="79"/>
      <c r="G91" s="79">
        <f t="shared" si="10"/>
        <v>11.000000000000002</v>
      </c>
      <c r="H91" s="79"/>
      <c r="I91" s="79"/>
      <c r="J91" s="171">
        <f t="shared" si="11"/>
        <v>7.2</v>
      </c>
      <c r="K91" s="79">
        <f t="shared" si="12"/>
        <v>3.8</v>
      </c>
      <c r="L91" s="79">
        <f t="shared" si="7"/>
        <v>1</v>
      </c>
    </row>
    <row r="92" spans="1:12" ht="12.75">
      <c r="A92" s="160">
        <v>62</v>
      </c>
      <c r="B92" s="160">
        <f t="shared" si="5"/>
        <v>9.6875</v>
      </c>
      <c r="C92" s="160">
        <f t="shared" si="8"/>
        <v>28</v>
      </c>
      <c r="D92" s="199">
        <f t="shared" si="9"/>
        <v>22.28091965018659</v>
      </c>
      <c r="E92" s="160">
        <f t="shared" si="2"/>
        <v>22</v>
      </c>
      <c r="F92" s="79"/>
      <c r="G92" s="79">
        <f t="shared" si="10"/>
        <v>10.999999999999998</v>
      </c>
      <c r="H92" s="79"/>
      <c r="I92" s="79"/>
      <c r="J92" s="171">
        <f t="shared" si="11"/>
        <v>7.2</v>
      </c>
      <c r="K92" s="79">
        <f t="shared" si="12"/>
        <v>3.8</v>
      </c>
      <c r="L92" s="79">
        <f t="shared" si="7"/>
        <v>1</v>
      </c>
    </row>
    <row r="93" spans="1:12" ht="12.75">
      <c r="A93" s="160">
        <v>63</v>
      </c>
      <c r="B93" s="160">
        <f t="shared" si="5"/>
        <v>9.84375</v>
      </c>
      <c r="C93" s="160">
        <f t="shared" si="8"/>
        <v>29</v>
      </c>
      <c r="D93" s="199">
        <f t="shared" si="9"/>
        <v>22.774466605680246</v>
      </c>
      <c r="E93" s="160">
        <f t="shared" si="2"/>
        <v>22</v>
      </c>
      <c r="F93" s="79"/>
      <c r="G93" s="79">
        <f t="shared" si="10"/>
        <v>11.000000000000002</v>
      </c>
      <c r="H93" s="79"/>
      <c r="I93" s="79"/>
      <c r="J93" s="171">
        <f t="shared" si="11"/>
        <v>7.2</v>
      </c>
      <c r="K93" s="79">
        <f t="shared" si="12"/>
        <v>3.8</v>
      </c>
      <c r="L93" s="79">
        <f t="shared" si="7"/>
        <v>1</v>
      </c>
    </row>
    <row r="94" spans="1:12" ht="12.75">
      <c r="A94" s="160">
        <v>64</v>
      </c>
      <c r="B94" s="160">
        <f t="shared" si="5"/>
        <v>10</v>
      </c>
      <c r="C94" s="160">
        <f aca="true" t="shared" si="13" ref="C94:C125">INT(((B94*SQRT(des_pres_w))/(des_spd_w))^2+0.5)</f>
        <v>30</v>
      </c>
      <c r="D94" s="199">
        <f aca="true" t="shared" si="14" ref="D94:D125">IF(alg=2,EXP(((des_GPA*B94/5940)-(nz1_pwr*valv1_stat/noz_spc_w)-(nz2_pwr*valv2_stat/spray_width_2))/((nz1_cons*valv1_stat/noz_spc_w)+(nz2_cons*valv2_stat/spray_width_2))),IF(alg=1,EXP(((des_GPA*B94/5940)-(nz1_pwr*valv1_stat/spray_width)-(nz2_pwr*valv2_stat/spray_width_2))/((nz1_cons*valv1_stat/spray_width)+(nz2_cons*valv2_stat/spray_width_2))),EXP(((des_GPA*B94/5940)-(nz1_pwr*valv1_stat/noz_spc_w)-(nz2_pwr*valv2_stat/noz_spc_w))/((nz1_cons*valv1_stat/noz_spc_w)+(nz2_cons*valv2_stat/noz_spc_w)))))</f>
        <v>23.278946170828306</v>
      </c>
      <c r="E94" s="160">
        <f t="shared" si="2"/>
        <v>23</v>
      </c>
      <c r="F94" s="79"/>
      <c r="G94" s="79">
        <f t="shared" si="10"/>
        <v>10.999999999999995</v>
      </c>
      <c r="H94" s="79"/>
      <c r="I94" s="79"/>
      <c r="J94" s="171">
        <f t="shared" si="11"/>
        <v>7.2</v>
      </c>
      <c r="K94" s="79">
        <f t="shared" si="12"/>
        <v>3.8</v>
      </c>
      <c r="L94" s="79">
        <f t="shared" si="7"/>
        <v>1</v>
      </c>
    </row>
    <row r="95" spans="1:12" ht="12.75">
      <c r="A95" s="160">
        <v>65</v>
      </c>
      <c r="B95" s="160">
        <f t="shared" si="5"/>
        <v>10.15625</v>
      </c>
      <c r="C95" s="160">
        <f t="shared" si="13"/>
        <v>31</v>
      </c>
      <c r="D95" s="199">
        <f t="shared" si="14"/>
        <v>23.794600514997928</v>
      </c>
      <c r="E95" s="160">
        <f aca="true" t="shared" si="15" ref="E95:E158">INT(D95)</f>
        <v>23</v>
      </c>
      <c r="F95" s="79"/>
      <c r="G95" s="79">
        <f aca="true" t="shared" si="16" ref="G95:G126">IF(alg=3,(LN(D95)*(nz1_cons*valv1_stat+nz2_cons*valv2_stat)+((nz1_pwr*valv1_stat+nz2_pwr*valv2_stat)))*5940/(noz_spc_w*B95),IF(alg=1,((LN(D95)*nz1_cons+nz1_pwr)*5940/(spray_width*B95)*valv1_stat)+((LN(D95)*nz2_cons+nz2_pwr)*5940/(spray_width_2*B95)*valv2_stat),((nz1_cons*LN(D95)+nz1_pwr)*5940/(B95*noz_spc_w))+((nz2_cons*LN(D95)+nz2_pwr)*5940/(B95*spray_width_2))))</f>
        <v>11</v>
      </c>
      <c r="H95" s="79"/>
      <c r="I95" s="79"/>
      <c r="J95" s="171">
        <f aca="true" t="shared" si="17" ref="J95:J126">IF(alg=1,ROUND(((valv1_stat*nz1_cons*LN(D95)+valv1_stat*nz1_pwr)*5940/(B95*spray_width)),2),ROUND(((valv1_stat*nz1_cons*LN(D95)+valv1_stat*nz1_pwr)*5940/(B95*noz_spc_w)),2))</f>
        <v>7.2</v>
      </c>
      <c r="K95" s="79">
        <f aca="true" t="shared" si="18" ref="K95:K126">IF(alg=3,ROUND(((valv2_stat*nz2_cons*LN(D95)+valv2_stat*nz2_pwr)*5940/(B95*noz_spc_w)),2),ROUND(((valv2_stat*nz2_cons*LN(D95)+valv2_stat*nz2_pwr)*5940/(B95*spray_width_2)),2))</f>
        <v>3.8</v>
      </c>
      <c r="L95" s="79">
        <f t="shared" si="7"/>
        <v>1</v>
      </c>
    </row>
    <row r="96" spans="1:12" ht="12.75">
      <c r="A96" s="160">
        <v>66</v>
      </c>
      <c r="B96" s="160">
        <f aca="true" t="shared" si="19" ref="B96:B158">A96*20/128</f>
        <v>10.3125</v>
      </c>
      <c r="C96" s="160">
        <f t="shared" si="13"/>
        <v>32</v>
      </c>
      <c r="D96" s="199">
        <f t="shared" si="14"/>
        <v>24.3216771718749</v>
      </c>
      <c r="E96" s="160">
        <f t="shared" si="15"/>
        <v>24</v>
      </c>
      <c r="F96" s="79"/>
      <c r="G96" s="79">
        <f t="shared" si="16"/>
        <v>10.999999999999996</v>
      </c>
      <c r="H96" s="79"/>
      <c r="I96" s="79"/>
      <c r="J96" s="171">
        <f t="shared" si="17"/>
        <v>7.2</v>
      </c>
      <c r="K96" s="79">
        <f t="shared" si="18"/>
        <v>3.8</v>
      </c>
      <c r="L96" s="79">
        <f aca="true" t="shared" si="20" ref="L96:L158">IF(ABS(J96-J97)&gt;0.05,0,IF(ABS(K96-K97)&gt;0.05,0,1))</f>
        <v>1</v>
      </c>
    </row>
    <row r="97" spans="1:12" ht="12.75">
      <c r="A97" s="160">
        <v>67</v>
      </c>
      <c r="B97" s="160">
        <f t="shared" si="19"/>
        <v>10.46875</v>
      </c>
      <c r="C97" s="160">
        <f t="shared" si="13"/>
        <v>33</v>
      </c>
      <c r="D97" s="199">
        <f t="shared" si="14"/>
        <v>24.860429158289335</v>
      </c>
      <c r="E97" s="160">
        <f t="shared" si="15"/>
        <v>24</v>
      </c>
      <c r="F97" s="79"/>
      <c r="G97" s="79">
        <f t="shared" si="16"/>
        <v>11</v>
      </c>
      <c r="H97" s="79"/>
      <c r="I97" s="79"/>
      <c r="J97" s="171">
        <f t="shared" si="17"/>
        <v>7.2</v>
      </c>
      <c r="K97" s="79">
        <f t="shared" si="18"/>
        <v>3.8</v>
      </c>
      <c r="L97" s="79">
        <f t="shared" si="20"/>
        <v>1</v>
      </c>
    </row>
    <row r="98" spans="1:12" ht="12.75">
      <c r="A98" s="160">
        <v>68</v>
      </c>
      <c r="B98" s="160">
        <f t="shared" si="19"/>
        <v>10.625</v>
      </c>
      <c r="C98" s="160">
        <f t="shared" si="13"/>
        <v>34</v>
      </c>
      <c r="D98" s="199">
        <f t="shared" si="14"/>
        <v>25.41111509567327</v>
      </c>
      <c r="E98" s="160">
        <f t="shared" si="15"/>
        <v>25</v>
      </c>
      <c r="F98" s="79"/>
      <c r="G98" s="79">
        <f t="shared" si="16"/>
        <v>10.999999999999998</v>
      </c>
      <c r="H98" s="79"/>
      <c r="I98" s="79"/>
      <c r="J98" s="171">
        <f t="shared" si="17"/>
        <v>7.2</v>
      </c>
      <c r="K98" s="79">
        <f t="shared" si="18"/>
        <v>3.8</v>
      </c>
      <c r="L98" s="79">
        <f t="shared" si="20"/>
        <v>1</v>
      </c>
    </row>
    <row r="99" spans="1:12" ht="12.75">
      <c r="A99" s="160">
        <v>69</v>
      </c>
      <c r="B99" s="160">
        <f t="shared" si="19"/>
        <v>10.78125</v>
      </c>
      <c r="C99" s="160">
        <f t="shared" si="13"/>
        <v>35</v>
      </c>
      <c r="D99" s="199">
        <f t="shared" si="14"/>
        <v>25.973999334208873</v>
      </c>
      <c r="E99" s="160">
        <f t="shared" si="15"/>
        <v>25</v>
      </c>
      <c r="F99" s="79"/>
      <c r="G99" s="79">
        <f t="shared" si="16"/>
        <v>11</v>
      </c>
      <c r="H99" s="79"/>
      <c r="I99" s="79"/>
      <c r="J99" s="171">
        <f t="shared" si="17"/>
        <v>7.2</v>
      </c>
      <c r="K99" s="79">
        <f t="shared" si="18"/>
        <v>3.8</v>
      </c>
      <c r="L99" s="79">
        <f t="shared" si="20"/>
        <v>1</v>
      </c>
    </row>
    <row r="100" spans="1:12" ht="12.75">
      <c r="A100" s="160">
        <v>70</v>
      </c>
      <c r="B100" s="160">
        <f t="shared" si="19"/>
        <v>10.9375</v>
      </c>
      <c r="C100" s="160">
        <f t="shared" si="13"/>
        <v>36</v>
      </c>
      <c r="D100" s="199">
        <f t="shared" si="14"/>
        <v>26.549352079726514</v>
      </c>
      <c r="E100" s="160">
        <f t="shared" si="15"/>
        <v>26</v>
      </c>
      <c r="F100" s="79"/>
      <c r="G100" s="79">
        <f t="shared" si="16"/>
        <v>10.999999999999995</v>
      </c>
      <c r="H100" s="79"/>
      <c r="I100" s="79"/>
      <c r="J100" s="171">
        <f t="shared" si="17"/>
        <v>7.2</v>
      </c>
      <c r="K100" s="79">
        <f t="shared" si="18"/>
        <v>3.8</v>
      </c>
      <c r="L100" s="79">
        <f t="shared" si="20"/>
        <v>1</v>
      </c>
    </row>
    <row r="101" spans="1:12" ht="12.75">
      <c r="A101" s="160">
        <v>71</v>
      </c>
      <c r="B101" s="160">
        <f t="shared" si="19"/>
        <v>11.09375</v>
      </c>
      <c r="C101" s="160">
        <f t="shared" si="13"/>
        <v>37</v>
      </c>
      <c r="D101" s="199">
        <f t="shared" si="14"/>
        <v>27.137449523413874</v>
      </c>
      <c r="E101" s="160">
        <f t="shared" si="15"/>
        <v>27</v>
      </c>
      <c r="F101" s="79"/>
      <c r="G101" s="79">
        <f t="shared" si="16"/>
        <v>11</v>
      </c>
      <c r="H101" s="79"/>
      <c r="I101" s="79"/>
      <c r="J101" s="171">
        <f t="shared" si="17"/>
        <v>7.2</v>
      </c>
      <c r="K101" s="79">
        <f t="shared" si="18"/>
        <v>3.8</v>
      </c>
      <c r="L101" s="79">
        <f t="shared" si="20"/>
        <v>1</v>
      </c>
    </row>
    <row r="102" spans="1:12" ht="12.75">
      <c r="A102" s="160">
        <v>72</v>
      </c>
      <c r="B102" s="160">
        <f t="shared" si="19"/>
        <v>11.25</v>
      </c>
      <c r="C102" s="160">
        <f t="shared" si="13"/>
        <v>38</v>
      </c>
      <c r="D102" s="199">
        <f t="shared" si="14"/>
        <v>27.73857397439816</v>
      </c>
      <c r="E102" s="160">
        <f t="shared" si="15"/>
        <v>27</v>
      </c>
      <c r="F102" s="79"/>
      <c r="G102" s="79">
        <f t="shared" si="16"/>
        <v>10.999999999999996</v>
      </c>
      <c r="H102" s="79"/>
      <c r="I102" s="79"/>
      <c r="J102" s="171">
        <f t="shared" si="17"/>
        <v>7.2</v>
      </c>
      <c r="K102" s="79">
        <f t="shared" si="18"/>
        <v>3.8</v>
      </c>
      <c r="L102" s="79">
        <f t="shared" si="20"/>
        <v>1</v>
      </c>
    </row>
    <row r="103" spans="1:12" ht="12.75">
      <c r="A103" s="160">
        <v>73</v>
      </c>
      <c r="B103" s="160">
        <f t="shared" si="19"/>
        <v>11.40625</v>
      </c>
      <c r="C103" s="160">
        <f t="shared" si="13"/>
        <v>39</v>
      </c>
      <c r="D103" s="199">
        <f t="shared" si="14"/>
        <v>28.353013995265304</v>
      </c>
      <c r="E103" s="160">
        <f t="shared" si="15"/>
        <v>28</v>
      </c>
      <c r="F103" s="79"/>
      <c r="G103" s="79">
        <f t="shared" si="16"/>
        <v>11</v>
      </c>
      <c r="H103" s="79"/>
      <c r="I103" s="79"/>
      <c r="J103" s="171">
        <f t="shared" si="17"/>
        <v>7.2</v>
      </c>
      <c r="K103" s="79">
        <f t="shared" si="18"/>
        <v>3.8</v>
      </c>
      <c r="L103" s="79">
        <f t="shared" si="20"/>
        <v>1</v>
      </c>
    </row>
    <row r="104" spans="1:12" ht="12.75">
      <c r="A104" s="160">
        <v>74</v>
      </c>
      <c r="B104" s="160">
        <f t="shared" si="19"/>
        <v>11.5625</v>
      </c>
      <c r="C104" s="160">
        <f t="shared" si="13"/>
        <v>40</v>
      </c>
      <c r="D104" s="199">
        <f t="shared" si="14"/>
        <v>28.98106454058087</v>
      </c>
      <c r="E104" s="160">
        <f t="shared" si="15"/>
        <v>28</v>
      </c>
      <c r="F104" s="79"/>
      <c r="G104" s="79">
        <f t="shared" si="16"/>
        <v>10.999999999999996</v>
      </c>
      <c r="H104" s="79"/>
      <c r="I104" s="79"/>
      <c r="J104" s="171">
        <f t="shared" si="17"/>
        <v>7.2</v>
      </c>
      <c r="K104" s="79">
        <f t="shared" si="18"/>
        <v>3.8</v>
      </c>
      <c r="L104" s="79">
        <f t="shared" si="20"/>
        <v>1</v>
      </c>
    </row>
    <row r="105" spans="1:12" ht="12.75">
      <c r="A105" s="160">
        <v>75</v>
      </c>
      <c r="B105" s="160">
        <f t="shared" si="19"/>
        <v>11.71875</v>
      </c>
      <c r="C105" s="160">
        <f t="shared" si="13"/>
        <v>41</v>
      </c>
      <c r="D105" s="199">
        <f t="shared" si="14"/>
        <v>29.62302709847954</v>
      </c>
      <c r="E105" s="160">
        <f t="shared" si="15"/>
        <v>29</v>
      </c>
      <c r="F105" s="79"/>
      <c r="G105" s="79">
        <f t="shared" si="16"/>
        <v>11</v>
      </c>
      <c r="H105" s="79"/>
      <c r="I105" s="79"/>
      <c r="J105" s="171">
        <f t="shared" si="17"/>
        <v>7.2</v>
      </c>
      <c r="K105" s="79">
        <f t="shared" si="18"/>
        <v>3.8</v>
      </c>
      <c r="L105" s="79">
        <f t="shared" si="20"/>
        <v>1</v>
      </c>
    </row>
    <row r="106" spans="1:12" ht="12.75">
      <c r="A106" s="160">
        <v>76</v>
      </c>
      <c r="B106" s="160">
        <f t="shared" si="19"/>
        <v>11.875</v>
      </c>
      <c r="C106" s="160">
        <f t="shared" si="13"/>
        <v>42</v>
      </c>
      <c r="D106" s="199">
        <f t="shared" si="14"/>
        <v>30.279209835390848</v>
      </c>
      <c r="E106" s="160">
        <f t="shared" si="15"/>
        <v>30</v>
      </c>
      <c r="F106" s="79"/>
      <c r="G106" s="79">
        <f t="shared" si="16"/>
        <v>10.999999999999995</v>
      </c>
      <c r="H106" s="79"/>
      <c r="I106" s="79"/>
      <c r="J106" s="171">
        <f t="shared" si="17"/>
        <v>7.2</v>
      </c>
      <c r="K106" s="79">
        <f t="shared" si="18"/>
        <v>3.8</v>
      </c>
      <c r="L106" s="79">
        <f t="shared" si="20"/>
        <v>1</v>
      </c>
    </row>
    <row r="107" spans="1:12" ht="12.75">
      <c r="A107" s="160">
        <v>77</v>
      </c>
      <c r="B107" s="160">
        <f t="shared" si="19"/>
        <v>12.03125</v>
      </c>
      <c r="C107" s="160">
        <f t="shared" si="13"/>
        <v>43</v>
      </c>
      <c r="D107" s="199">
        <f t="shared" si="14"/>
        <v>30.949927743970786</v>
      </c>
      <c r="E107" s="160">
        <f t="shared" si="15"/>
        <v>30</v>
      </c>
      <c r="F107" s="79"/>
      <c r="G107" s="79">
        <f t="shared" si="16"/>
        <v>11</v>
      </c>
      <c r="H107" s="79"/>
      <c r="I107" s="79"/>
      <c r="J107" s="171">
        <f t="shared" si="17"/>
        <v>7.2</v>
      </c>
      <c r="K107" s="79">
        <f t="shared" si="18"/>
        <v>3.8</v>
      </c>
      <c r="L107" s="79">
        <f t="shared" si="20"/>
        <v>1</v>
      </c>
    </row>
    <row r="108" spans="1:12" ht="12.75">
      <c r="A108" s="160">
        <v>78</v>
      </c>
      <c r="B108" s="160">
        <f t="shared" si="19"/>
        <v>12.1875</v>
      </c>
      <c r="C108" s="160">
        <f t="shared" si="13"/>
        <v>45</v>
      </c>
      <c r="D108" s="199">
        <f t="shared" si="14"/>
        <v>31.6355027943102</v>
      </c>
      <c r="E108" s="160">
        <f t="shared" si="15"/>
        <v>31</v>
      </c>
      <c r="F108" s="79"/>
      <c r="G108" s="79">
        <f t="shared" si="16"/>
        <v>10.999999999999998</v>
      </c>
      <c r="H108" s="79"/>
      <c r="I108" s="79"/>
      <c r="J108" s="171">
        <f t="shared" si="17"/>
        <v>7.2</v>
      </c>
      <c r="K108" s="79">
        <f t="shared" si="18"/>
        <v>3.8</v>
      </c>
      <c r="L108" s="79">
        <f t="shared" si="20"/>
        <v>1</v>
      </c>
    </row>
    <row r="109" spans="1:12" ht="12.75">
      <c r="A109" s="160">
        <v>79</v>
      </c>
      <c r="B109" s="160">
        <f t="shared" si="19"/>
        <v>12.34375</v>
      </c>
      <c r="C109" s="160">
        <f t="shared" si="13"/>
        <v>46</v>
      </c>
      <c r="D109" s="199">
        <f t="shared" si="14"/>
        <v>32.33626408849278</v>
      </c>
      <c r="E109" s="160">
        <f t="shared" si="15"/>
        <v>32</v>
      </c>
      <c r="F109" s="79"/>
      <c r="G109" s="79">
        <f t="shared" si="16"/>
        <v>10.999999999999996</v>
      </c>
      <c r="H109" s="79"/>
      <c r="I109" s="79"/>
      <c r="J109" s="171">
        <f t="shared" si="17"/>
        <v>7.2</v>
      </c>
      <c r="K109" s="79">
        <f t="shared" si="18"/>
        <v>3.8</v>
      </c>
      <c r="L109" s="79">
        <f t="shared" si="20"/>
        <v>1</v>
      </c>
    </row>
    <row r="110" spans="1:12" ht="12.75">
      <c r="A110" s="160">
        <v>80</v>
      </c>
      <c r="B110" s="160">
        <f t="shared" si="19"/>
        <v>12.5</v>
      </c>
      <c r="C110" s="160">
        <f t="shared" si="13"/>
        <v>47</v>
      </c>
      <c r="D110" s="199">
        <f t="shared" si="14"/>
        <v>33.05254801857644</v>
      </c>
      <c r="E110" s="160">
        <f t="shared" si="15"/>
        <v>33</v>
      </c>
      <c r="F110" s="79"/>
      <c r="G110" s="79">
        <f t="shared" si="16"/>
        <v>10.999999999999996</v>
      </c>
      <c r="H110" s="79"/>
      <c r="I110" s="79"/>
      <c r="J110" s="171">
        <f t="shared" si="17"/>
        <v>7.2</v>
      </c>
      <c r="K110" s="79">
        <f t="shared" si="18"/>
        <v>3.8</v>
      </c>
      <c r="L110" s="79">
        <f t="shared" si="20"/>
        <v>1</v>
      </c>
    </row>
    <row r="111" spans="1:12" ht="12.75">
      <c r="A111" s="160">
        <v>81</v>
      </c>
      <c r="B111" s="160">
        <f t="shared" si="19"/>
        <v>12.65625</v>
      </c>
      <c r="C111" s="160">
        <f t="shared" si="13"/>
        <v>48</v>
      </c>
      <c r="D111" s="199">
        <f t="shared" si="14"/>
        <v>33.78469842807445</v>
      </c>
      <c r="E111" s="160">
        <f t="shared" si="15"/>
        <v>33</v>
      </c>
      <c r="F111" s="79"/>
      <c r="G111" s="79">
        <f t="shared" si="16"/>
        <v>11</v>
      </c>
      <c r="H111" s="79"/>
      <c r="I111" s="79"/>
      <c r="J111" s="171">
        <f t="shared" si="17"/>
        <v>7.2</v>
      </c>
      <c r="K111" s="79">
        <f t="shared" si="18"/>
        <v>3.8</v>
      </c>
      <c r="L111" s="79">
        <f t="shared" si="20"/>
        <v>1</v>
      </c>
    </row>
    <row r="112" spans="1:12" ht="12.75">
      <c r="A112" s="160">
        <v>82</v>
      </c>
      <c r="B112" s="160">
        <f t="shared" si="19"/>
        <v>12.8125</v>
      </c>
      <c r="C112" s="160">
        <f t="shared" si="13"/>
        <v>49</v>
      </c>
      <c r="D112" s="199">
        <f t="shared" si="14"/>
        <v>34.53306677701321</v>
      </c>
      <c r="E112" s="160">
        <f t="shared" si="15"/>
        <v>34</v>
      </c>
      <c r="F112" s="79"/>
      <c r="G112" s="79">
        <f t="shared" si="16"/>
        <v>11</v>
      </c>
      <c r="H112" s="79"/>
      <c r="I112" s="79"/>
      <c r="J112" s="171">
        <f t="shared" si="17"/>
        <v>7.2</v>
      </c>
      <c r="K112" s="79">
        <f t="shared" si="18"/>
        <v>3.8</v>
      </c>
      <c r="L112" s="79">
        <f t="shared" si="20"/>
        <v>1</v>
      </c>
    </row>
    <row r="113" spans="1:12" ht="12.75">
      <c r="A113" s="160">
        <v>83</v>
      </c>
      <c r="B113" s="160">
        <f t="shared" si="19"/>
        <v>12.96875</v>
      </c>
      <c r="C113" s="160">
        <f t="shared" si="13"/>
        <v>50</v>
      </c>
      <c r="D113" s="199">
        <f t="shared" si="14"/>
        <v>35.298012310646556</v>
      </c>
      <c r="E113" s="160">
        <f t="shared" si="15"/>
        <v>35</v>
      </c>
      <c r="F113" s="79"/>
      <c r="G113" s="79">
        <f t="shared" si="16"/>
        <v>10.999999999999996</v>
      </c>
      <c r="H113" s="79"/>
      <c r="I113" s="79"/>
      <c r="J113" s="171">
        <f t="shared" si="17"/>
        <v>7.2</v>
      </c>
      <c r="K113" s="79">
        <f t="shared" si="18"/>
        <v>3.8</v>
      </c>
      <c r="L113" s="79">
        <f t="shared" si="20"/>
        <v>1</v>
      </c>
    </row>
    <row r="114" spans="1:12" ht="12.75">
      <c r="A114" s="160">
        <v>84</v>
      </c>
      <c r="B114" s="160">
        <f t="shared" si="19"/>
        <v>13.125</v>
      </c>
      <c r="C114" s="160">
        <f t="shared" si="13"/>
        <v>52</v>
      </c>
      <c r="D114" s="199">
        <f t="shared" si="14"/>
        <v>36.07990223190712</v>
      </c>
      <c r="E114" s="160">
        <f t="shared" si="15"/>
        <v>36</v>
      </c>
      <c r="F114" s="79"/>
      <c r="G114" s="79">
        <f t="shared" si="16"/>
        <v>11.000000000000002</v>
      </c>
      <c r="H114" s="79"/>
      <c r="I114" s="79"/>
      <c r="J114" s="171">
        <f t="shared" si="17"/>
        <v>7.2</v>
      </c>
      <c r="K114" s="79">
        <f t="shared" si="18"/>
        <v>3.8</v>
      </c>
      <c r="L114" s="79">
        <f t="shared" si="20"/>
        <v>1</v>
      </c>
    </row>
    <row r="115" spans="1:12" ht="12.75">
      <c r="A115" s="160">
        <v>85</v>
      </c>
      <c r="B115" s="160">
        <f t="shared" si="19"/>
        <v>13.28125</v>
      </c>
      <c r="C115" s="160">
        <f t="shared" si="13"/>
        <v>53</v>
      </c>
      <c r="D115" s="199">
        <f t="shared" si="14"/>
        <v>36.8791118776776</v>
      </c>
      <c r="E115" s="160">
        <f t="shared" si="15"/>
        <v>36</v>
      </c>
      <c r="F115" s="79"/>
      <c r="G115" s="79">
        <f t="shared" si="16"/>
        <v>11</v>
      </c>
      <c r="H115" s="79"/>
      <c r="I115" s="79"/>
      <c r="J115" s="171">
        <f t="shared" si="17"/>
        <v>7.2</v>
      </c>
      <c r="K115" s="79">
        <f t="shared" si="18"/>
        <v>3.8</v>
      </c>
      <c r="L115" s="79">
        <f t="shared" si="20"/>
        <v>1</v>
      </c>
    </row>
    <row r="116" spans="1:12" ht="12.75">
      <c r="A116" s="160">
        <v>86</v>
      </c>
      <c r="B116" s="160">
        <f t="shared" si="19"/>
        <v>13.4375</v>
      </c>
      <c r="C116" s="160">
        <f t="shared" si="13"/>
        <v>54</v>
      </c>
      <c r="D116" s="199">
        <f t="shared" si="14"/>
        <v>37.69602489896687</v>
      </c>
      <c r="E116" s="160">
        <f t="shared" si="15"/>
        <v>37</v>
      </c>
      <c r="F116" s="79"/>
      <c r="G116" s="79">
        <f t="shared" si="16"/>
        <v>10.999999999999996</v>
      </c>
      <c r="H116" s="79"/>
      <c r="I116" s="79"/>
      <c r="J116" s="171">
        <f t="shared" si="17"/>
        <v>7.2</v>
      </c>
      <c r="K116" s="79">
        <f t="shared" si="18"/>
        <v>3.8</v>
      </c>
      <c r="L116" s="79">
        <f t="shared" si="20"/>
        <v>1</v>
      </c>
    </row>
    <row r="117" spans="1:12" ht="12.75">
      <c r="A117" s="160">
        <v>87</v>
      </c>
      <c r="B117" s="160">
        <f t="shared" si="19"/>
        <v>13.59375</v>
      </c>
      <c r="C117" s="160">
        <f t="shared" si="13"/>
        <v>55</v>
      </c>
      <c r="D117" s="199">
        <f t="shared" si="14"/>
        <v>38.53103344507695</v>
      </c>
      <c r="E117" s="160">
        <f t="shared" si="15"/>
        <v>38</v>
      </c>
      <c r="F117" s="79"/>
      <c r="G117" s="79">
        <f t="shared" si="16"/>
        <v>11</v>
      </c>
      <c r="H117" s="79"/>
      <c r="I117" s="79"/>
      <c r="J117" s="171">
        <f t="shared" si="17"/>
        <v>7.2</v>
      </c>
      <c r="K117" s="79">
        <f t="shared" si="18"/>
        <v>3.8</v>
      </c>
      <c r="L117" s="79">
        <f t="shared" si="20"/>
        <v>1</v>
      </c>
    </row>
    <row r="118" spans="1:12" ht="12.75">
      <c r="A118" s="160">
        <v>88</v>
      </c>
      <c r="B118" s="160">
        <f t="shared" si="19"/>
        <v>13.75</v>
      </c>
      <c r="C118" s="160">
        <f t="shared" si="13"/>
        <v>57</v>
      </c>
      <c r="D118" s="199">
        <f t="shared" si="14"/>
        <v>39.38453835184963</v>
      </c>
      <c r="E118" s="160">
        <f t="shared" si="15"/>
        <v>39</v>
      </c>
      <c r="F118" s="79"/>
      <c r="G118" s="79">
        <f t="shared" si="16"/>
        <v>11</v>
      </c>
      <c r="H118" s="79"/>
      <c r="I118" s="79"/>
      <c r="J118" s="171">
        <f t="shared" si="17"/>
        <v>7.2</v>
      </c>
      <c r="K118" s="79">
        <f t="shared" si="18"/>
        <v>3.8</v>
      </c>
      <c r="L118" s="79">
        <f t="shared" si="20"/>
        <v>1</v>
      </c>
    </row>
    <row r="119" spans="1:12" ht="12.75">
      <c r="A119" s="160">
        <v>89</v>
      </c>
      <c r="B119" s="160">
        <f t="shared" si="19"/>
        <v>13.90625</v>
      </c>
      <c r="C119" s="160">
        <f t="shared" si="13"/>
        <v>58</v>
      </c>
      <c r="D119" s="199">
        <f t="shared" si="14"/>
        <v>40.25694933408282</v>
      </c>
      <c r="E119" s="160">
        <f t="shared" si="15"/>
        <v>40</v>
      </c>
      <c r="F119" s="79"/>
      <c r="G119" s="79">
        <f t="shared" si="16"/>
        <v>10.999999999999996</v>
      </c>
      <c r="H119" s="79"/>
      <c r="I119" s="79"/>
      <c r="J119" s="171">
        <f t="shared" si="17"/>
        <v>7.2</v>
      </c>
      <c r="K119" s="79">
        <f t="shared" si="18"/>
        <v>3.8</v>
      </c>
      <c r="L119" s="79">
        <f t="shared" si="20"/>
        <v>1</v>
      </c>
    </row>
    <row r="120" spans="1:12" ht="12.75">
      <c r="A120" s="160">
        <v>90</v>
      </c>
      <c r="B120" s="160">
        <f t="shared" si="19"/>
        <v>14.0625</v>
      </c>
      <c r="C120" s="160">
        <f t="shared" si="13"/>
        <v>59</v>
      </c>
      <c r="D120" s="199">
        <f t="shared" si="14"/>
        <v>41.148685182209384</v>
      </c>
      <c r="E120" s="160">
        <f t="shared" si="15"/>
        <v>41</v>
      </c>
      <c r="F120" s="79"/>
      <c r="G120" s="79">
        <f t="shared" si="16"/>
        <v>11</v>
      </c>
      <c r="H120" s="79"/>
      <c r="I120" s="79"/>
      <c r="J120" s="171">
        <f t="shared" si="17"/>
        <v>7.2</v>
      </c>
      <c r="K120" s="79">
        <f t="shared" si="18"/>
        <v>3.8</v>
      </c>
      <c r="L120" s="79">
        <f t="shared" si="20"/>
        <v>1</v>
      </c>
    </row>
    <row r="121" spans="1:12" ht="12.75">
      <c r="A121" s="160">
        <v>91</v>
      </c>
      <c r="B121" s="160">
        <f t="shared" si="19"/>
        <v>14.21875</v>
      </c>
      <c r="C121" s="160">
        <f t="shared" si="13"/>
        <v>61</v>
      </c>
      <c r="D121" s="199">
        <f t="shared" si="14"/>
        <v>42.06017396333227</v>
      </c>
      <c r="E121" s="160">
        <f t="shared" si="15"/>
        <v>42</v>
      </c>
      <c r="F121" s="79"/>
      <c r="G121" s="79">
        <f t="shared" si="16"/>
        <v>10.999999999999998</v>
      </c>
      <c r="H121" s="79"/>
      <c r="I121" s="79"/>
      <c r="J121" s="171">
        <f t="shared" si="17"/>
        <v>7.2</v>
      </c>
      <c r="K121" s="79">
        <f t="shared" si="18"/>
        <v>3.8</v>
      </c>
      <c r="L121" s="79">
        <f t="shared" si="20"/>
        <v>1</v>
      </c>
    </row>
    <row r="122" spans="1:12" ht="12.75">
      <c r="A122" s="160">
        <v>92</v>
      </c>
      <c r="B122" s="160">
        <f t="shared" si="19"/>
        <v>14.375</v>
      </c>
      <c r="C122" s="160">
        <f t="shared" si="13"/>
        <v>62</v>
      </c>
      <c r="D122" s="199">
        <f t="shared" si="14"/>
        <v>42.99185322671323</v>
      </c>
      <c r="E122" s="160">
        <f t="shared" si="15"/>
        <v>42</v>
      </c>
      <c r="F122" s="79"/>
      <c r="G122" s="79">
        <f t="shared" si="16"/>
        <v>11</v>
      </c>
      <c r="H122" s="79"/>
      <c r="I122" s="79"/>
      <c r="J122" s="171">
        <f t="shared" si="17"/>
        <v>7.2</v>
      </c>
      <c r="K122" s="79">
        <f t="shared" si="18"/>
        <v>3.8</v>
      </c>
      <c r="L122" s="79">
        <f t="shared" si="20"/>
        <v>1</v>
      </c>
    </row>
    <row r="123" spans="1:12" ht="12.75">
      <c r="A123" s="160">
        <v>93</v>
      </c>
      <c r="B123" s="160">
        <f t="shared" si="19"/>
        <v>14.53125</v>
      </c>
      <c r="C123" s="160">
        <f t="shared" si="13"/>
        <v>63</v>
      </c>
      <c r="D123" s="199">
        <f t="shared" si="14"/>
        <v>43.94417021381283</v>
      </c>
      <c r="E123" s="160">
        <f t="shared" si="15"/>
        <v>43</v>
      </c>
      <c r="F123" s="79"/>
      <c r="G123" s="79">
        <f t="shared" si="16"/>
        <v>10.999999999999996</v>
      </c>
      <c r="H123" s="79"/>
      <c r="I123" s="79"/>
      <c r="J123" s="171">
        <f t="shared" si="17"/>
        <v>7.2</v>
      </c>
      <c r="K123" s="79">
        <f t="shared" si="18"/>
        <v>3.8</v>
      </c>
      <c r="L123" s="79">
        <f t="shared" si="20"/>
        <v>1</v>
      </c>
    </row>
    <row r="124" spans="1:12" ht="12.75">
      <c r="A124" s="160">
        <v>94</v>
      </c>
      <c r="B124" s="160">
        <f t="shared" si="19"/>
        <v>14.6875</v>
      </c>
      <c r="C124" s="160">
        <f t="shared" si="13"/>
        <v>65</v>
      </c>
      <c r="D124" s="199">
        <f t="shared" si="14"/>
        <v>44.91758207298359</v>
      </c>
      <c r="E124" s="160">
        <f t="shared" si="15"/>
        <v>44</v>
      </c>
      <c r="F124" s="79"/>
      <c r="G124" s="79">
        <f t="shared" si="16"/>
        <v>11</v>
      </c>
      <c r="H124" s="79"/>
      <c r="I124" s="79"/>
      <c r="J124" s="171">
        <f t="shared" si="17"/>
        <v>7.2</v>
      </c>
      <c r="K124" s="79">
        <f t="shared" si="18"/>
        <v>3.8</v>
      </c>
      <c r="L124" s="79">
        <f t="shared" si="20"/>
        <v>1</v>
      </c>
    </row>
    <row r="125" spans="1:12" ht="12.75">
      <c r="A125" s="160">
        <v>95</v>
      </c>
      <c r="B125" s="160">
        <f t="shared" si="19"/>
        <v>14.84375</v>
      </c>
      <c r="C125" s="160">
        <f t="shared" si="13"/>
        <v>66</v>
      </c>
      <c r="D125" s="199">
        <f t="shared" si="14"/>
        <v>45.91255607891837</v>
      </c>
      <c r="E125" s="160">
        <f t="shared" si="15"/>
        <v>45</v>
      </c>
      <c r="F125" s="79"/>
      <c r="G125" s="79">
        <f t="shared" si="16"/>
        <v>10.999999999999996</v>
      </c>
      <c r="H125" s="79"/>
      <c r="I125" s="79"/>
      <c r="J125" s="171">
        <f t="shared" si="17"/>
        <v>7.2</v>
      </c>
      <c r="K125" s="79">
        <f t="shared" si="18"/>
        <v>3.8</v>
      </c>
      <c r="L125" s="79">
        <f t="shared" si="20"/>
        <v>1</v>
      </c>
    </row>
    <row r="126" spans="1:12" ht="12.75">
      <c r="A126" s="160">
        <v>96</v>
      </c>
      <c r="B126" s="160">
        <f t="shared" si="19"/>
        <v>15</v>
      </c>
      <c r="C126" s="160">
        <f aca="true" t="shared" si="21" ref="C126:C157">INT(((B126*SQRT(des_pres_w))/(des_spd_w))^2+0.5)</f>
        <v>68</v>
      </c>
      <c r="D126" s="199">
        <f aca="true" t="shared" si="22" ref="D126:D158">IF(alg=2,EXP(((des_GPA*B126/5940)-(nz1_pwr*valv1_stat/noz_spc_w)-(nz2_pwr*valv2_stat/spray_width_2))/((nz1_cons*valv1_stat/noz_spc_w)+(nz2_cons*valv2_stat/spray_width_2))),IF(alg=1,EXP(((des_GPA*B126/5940)-(nz1_pwr*valv1_stat/spray_width)-(nz2_pwr*valv2_stat/spray_width_2))/((nz1_cons*valv1_stat/spray_width)+(nz2_cons*valv2_stat/spray_width_2))),EXP(((des_GPA*B126/5940)-(nz1_pwr*valv1_stat/noz_spc_w)-(nz2_pwr*valv2_stat/noz_spc_w))/((nz1_cons*valv1_stat/noz_spc_w)+(nz2_cons*valv2_stat/noz_spc_w)))))</f>
        <v>46.92956985696014</v>
      </c>
      <c r="E126" s="160">
        <f t="shared" si="15"/>
        <v>46</v>
      </c>
      <c r="F126" s="79"/>
      <c r="G126" s="79">
        <f t="shared" si="16"/>
        <v>10.999999999999998</v>
      </c>
      <c r="H126" s="79"/>
      <c r="I126" s="79"/>
      <c r="J126" s="171">
        <f t="shared" si="17"/>
        <v>7.2</v>
      </c>
      <c r="K126" s="79">
        <f t="shared" si="18"/>
        <v>3.8</v>
      </c>
      <c r="L126" s="79">
        <f t="shared" si="20"/>
        <v>1</v>
      </c>
    </row>
    <row r="127" spans="1:12" ht="12.75">
      <c r="A127" s="160">
        <v>97</v>
      </c>
      <c r="B127" s="160">
        <f t="shared" si="19"/>
        <v>15.15625</v>
      </c>
      <c r="C127" s="160">
        <f t="shared" si="21"/>
        <v>69</v>
      </c>
      <c r="D127" s="199">
        <f t="shared" si="22"/>
        <v>47.96911161238024</v>
      </c>
      <c r="E127" s="160">
        <f t="shared" si="15"/>
        <v>47</v>
      </c>
      <c r="F127" s="79"/>
      <c r="G127" s="79">
        <f aca="true" t="shared" si="23" ref="G127:G158">IF(alg=3,(LN(D127)*(nz1_cons*valv1_stat+nz2_cons*valv2_stat)+((nz1_pwr*valv1_stat+nz2_pwr*valv2_stat)))*5940/(noz_spc_w*B127),IF(alg=1,((LN(D127)*nz1_cons+nz1_pwr)*5940/(spray_width*B127)*valv1_stat)+((LN(D127)*nz2_cons+nz2_pwr)*5940/(spray_width_2*B127)*valv2_stat),((nz1_cons*LN(D127)+nz1_pwr)*5940/(B127*noz_spc_w))+((nz2_cons*LN(D127)+nz2_pwr)*5940/(B127*spray_width_2))))</f>
        <v>10.999999999999998</v>
      </c>
      <c r="H127" s="79"/>
      <c r="I127" s="79"/>
      <c r="J127" s="171">
        <f aca="true" t="shared" si="24" ref="J127:J158">IF(alg=1,ROUND(((valv1_stat*nz1_cons*LN(D127)+valv1_stat*nz1_pwr)*5940/(B127*spray_width)),2),ROUND(((valv1_stat*nz1_cons*LN(D127)+valv1_stat*nz1_pwr)*5940/(B127*noz_spc_w)),2))</f>
        <v>7.2</v>
      </c>
      <c r="K127" s="79">
        <f aca="true" t="shared" si="25" ref="K127:K158">IF(alg=3,ROUND(((valv2_stat*nz2_cons*LN(D127)+valv2_stat*nz2_pwr)*5940/(B127*noz_spc_w)),2),ROUND(((valv2_stat*nz2_cons*LN(D127)+valv2_stat*nz2_pwr)*5940/(B127*spray_width_2)),2))</f>
        <v>3.8</v>
      </c>
      <c r="L127" s="79">
        <f t="shared" si="20"/>
        <v>1</v>
      </c>
    </row>
    <row r="128" spans="1:12" ht="12.75">
      <c r="A128" s="160">
        <v>98</v>
      </c>
      <c r="B128" s="160">
        <f t="shared" si="19"/>
        <v>15.3125</v>
      </c>
      <c r="C128" s="160">
        <f t="shared" si="21"/>
        <v>70</v>
      </c>
      <c r="D128" s="199">
        <f t="shared" si="22"/>
        <v>49.03168036473546</v>
      </c>
      <c r="E128" s="160">
        <f t="shared" si="15"/>
        <v>49</v>
      </c>
      <c r="F128" s="79"/>
      <c r="G128" s="79">
        <f t="shared" si="23"/>
        <v>10.999999999999998</v>
      </c>
      <c r="H128" s="79"/>
      <c r="I128" s="79"/>
      <c r="J128" s="171">
        <f t="shared" si="24"/>
        <v>7.2</v>
      </c>
      <c r="K128" s="79">
        <f t="shared" si="25"/>
        <v>3.8</v>
      </c>
      <c r="L128" s="79">
        <f t="shared" si="20"/>
        <v>1</v>
      </c>
    </row>
    <row r="129" spans="1:12" ht="12.75">
      <c r="A129" s="160">
        <v>99</v>
      </c>
      <c r="B129" s="160">
        <f t="shared" si="19"/>
        <v>15.46875</v>
      </c>
      <c r="C129" s="160">
        <f t="shared" si="21"/>
        <v>72</v>
      </c>
      <c r="D129" s="199">
        <f t="shared" si="22"/>
        <v>50.11778618741636</v>
      </c>
      <c r="E129" s="160">
        <f t="shared" si="15"/>
        <v>50</v>
      </c>
      <c r="F129" s="79"/>
      <c r="G129" s="79">
        <f t="shared" si="23"/>
        <v>10.999999999999996</v>
      </c>
      <c r="H129" s="79"/>
      <c r="I129" s="79"/>
      <c r="J129" s="171">
        <f t="shared" si="24"/>
        <v>7.2</v>
      </c>
      <c r="K129" s="79">
        <f t="shared" si="25"/>
        <v>3.8</v>
      </c>
      <c r="L129" s="79">
        <f t="shared" si="20"/>
        <v>1</v>
      </c>
    </row>
    <row r="130" spans="1:12" ht="12.75">
      <c r="A130" s="160">
        <v>100</v>
      </c>
      <c r="B130" s="160">
        <f t="shared" si="19"/>
        <v>15.625</v>
      </c>
      <c r="C130" s="160">
        <f t="shared" si="21"/>
        <v>73</v>
      </c>
      <c r="D130" s="199">
        <f t="shared" si="22"/>
        <v>51.227950452501986</v>
      </c>
      <c r="E130" s="160">
        <f t="shared" si="15"/>
        <v>51</v>
      </c>
      <c r="F130" s="79"/>
      <c r="G130" s="79">
        <f t="shared" si="23"/>
        <v>11</v>
      </c>
      <c r="H130" s="79"/>
      <c r="I130" s="79"/>
      <c r="J130" s="171">
        <f t="shared" si="24"/>
        <v>7.2</v>
      </c>
      <c r="K130" s="79">
        <f t="shared" si="25"/>
        <v>3.8</v>
      </c>
      <c r="L130" s="79">
        <f t="shared" si="20"/>
        <v>1</v>
      </c>
    </row>
    <row r="131" spans="1:12" ht="12.75">
      <c r="A131" s="160">
        <v>101</v>
      </c>
      <c r="B131" s="160">
        <f t="shared" si="19"/>
        <v>15.78125</v>
      </c>
      <c r="C131" s="160">
        <f t="shared" si="21"/>
        <v>75</v>
      </c>
      <c r="D131" s="199">
        <f t="shared" si="22"/>
        <v>52.3627060810382</v>
      </c>
      <c r="E131" s="160">
        <f t="shared" si="15"/>
        <v>52</v>
      </c>
      <c r="F131" s="79"/>
      <c r="G131" s="79">
        <f t="shared" si="23"/>
        <v>11</v>
      </c>
      <c r="H131" s="79"/>
      <c r="I131" s="79"/>
      <c r="J131" s="171">
        <f t="shared" si="24"/>
        <v>7.2</v>
      </c>
      <c r="K131" s="79">
        <f t="shared" si="25"/>
        <v>3.8</v>
      </c>
      <c r="L131" s="79">
        <f t="shared" si="20"/>
        <v>1</v>
      </c>
    </row>
    <row r="132" spans="1:12" ht="12.75">
      <c r="A132" s="160">
        <v>102</v>
      </c>
      <c r="B132" s="160">
        <f t="shared" si="19"/>
        <v>15.9375</v>
      </c>
      <c r="C132" s="160">
        <f t="shared" si="21"/>
        <v>76</v>
      </c>
      <c r="D132" s="199">
        <f t="shared" si="22"/>
        <v>53.52259779886</v>
      </c>
      <c r="E132" s="160">
        <f t="shared" si="15"/>
        <v>53</v>
      </c>
      <c r="F132" s="79"/>
      <c r="G132" s="79">
        <f t="shared" si="23"/>
        <v>10.999999999999998</v>
      </c>
      <c r="H132" s="79"/>
      <c r="I132" s="79"/>
      <c r="J132" s="171">
        <f t="shared" si="24"/>
        <v>7.2</v>
      </c>
      <c r="K132" s="79">
        <f t="shared" si="25"/>
        <v>3.8</v>
      </c>
      <c r="L132" s="79">
        <f t="shared" si="20"/>
        <v>1</v>
      </c>
    </row>
    <row r="133" spans="1:12" ht="12.75">
      <c r="A133" s="160">
        <v>103</v>
      </c>
      <c r="B133" s="160">
        <f t="shared" si="19"/>
        <v>16.09375</v>
      </c>
      <c r="C133" s="160">
        <f t="shared" si="21"/>
        <v>78</v>
      </c>
      <c r="D133" s="199">
        <f t="shared" si="22"/>
        <v>54.70818239808087</v>
      </c>
      <c r="E133" s="160">
        <f t="shared" si="15"/>
        <v>54</v>
      </c>
      <c r="F133" s="79"/>
      <c r="G133" s="79">
        <f t="shared" si="23"/>
        <v>10.999999999999998</v>
      </c>
      <c r="H133" s="79"/>
      <c r="I133" s="79"/>
      <c r="J133" s="171">
        <f t="shared" si="24"/>
        <v>7.2</v>
      </c>
      <c r="K133" s="79">
        <f t="shared" si="25"/>
        <v>3.8</v>
      </c>
      <c r="L133" s="79">
        <f t="shared" si="20"/>
        <v>1</v>
      </c>
    </row>
    <row r="134" spans="1:12" ht="12.75">
      <c r="A134" s="160">
        <v>104</v>
      </c>
      <c r="B134" s="160">
        <f t="shared" si="19"/>
        <v>16.25</v>
      </c>
      <c r="C134" s="160">
        <f t="shared" si="21"/>
        <v>79</v>
      </c>
      <c r="D134" s="199">
        <f t="shared" si="22"/>
        <v>55.920029004373795</v>
      </c>
      <c r="E134" s="160">
        <f t="shared" si="15"/>
        <v>55</v>
      </c>
      <c r="F134" s="79"/>
      <c r="G134" s="79">
        <f t="shared" si="23"/>
        <v>10.999999999999998</v>
      </c>
      <c r="H134" s="79"/>
      <c r="I134" s="79"/>
      <c r="J134" s="171">
        <f t="shared" si="24"/>
        <v>7.2</v>
      </c>
      <c r="K134" s="79">
        <f t="shared" si="25"/>
        <v>3.8</v>
      </c>
      <c r="L134" s="79">
        <f t="shared" si="20"/>
        <v>1</v>
      </c>
    </row>
    <row r="135" spans="1:12" ht="12.75">
      <c r="A135" s="160">
        <v>105</v>
      </c>
      <c r="B135" s="160">
        <f t="shared" si="19"/>
        <v>16.40625</v>
      </c>
      <c r="C135" s="160">
        <f t="shared" si="21"/>
        <v>81</v>
      </c>
      <c r="D135" s="199">
        <f t="shared" si="22"/>
        <v>57.1587193501735</v>
      </c>
      <c r="E135" s="160">
        <f t="shared" si="15"/>
        <v>57</v>
      </c>
      <c r="F135" s="79"/>
      <c r="G135" s="79">
        <f t="shared" si="23"/>
        <v>10.999999999999996</v>
      </c>
      <c r="H135" s="79"/>
      <c r="I135" s="79"/>
      <c r="J135" s="171">
        <f t="shared" si="24"/>
        <v>7.2</v>
      </c>
      <c r="K135" s="79">
        <f t="shared" si="25"/>
        <v>3.8</v>
      </c>
      <c r="L135" s="79">
        <f t="shared" si="20"/>
        <v>1</v>
      </c>
    </row>
    <row r="136" spans="1:12" ht="12.75">
      <c r="A136" s="160">
        <v>106</v>
      </c>
      <c r="B136" s="160">
        <f t="shared" si="19"/>
        <v>16.5625</v>
      </c>
      <c r="C136" s="160">
        <f t="shared" si="21"/>
        <v>82</v>
      </c>
      <c r="D136" s="199">
        <f t="shared" si="22"/>
        <v>58.42484805393007</v>
      </c>
      <c r="E136" s="160">
        <f t="shared" si="15"/>
        <v>58</v>
      </c>
      <c r="F136" s="79"/>
      <c r="G136" s="79">
        <f t="shared" si="23"/>
        <v>11.000000000000002</v>
      </c>
      <c r="H136" s="79"/>
      <c r="I136" s="79"/>
      <c r="J136" s="171">
        <f t="shared" si="24"/>
        <v>7.2</v>
      </c>
      <c r="K136" s="79">
        <f t="shared" si="25"/>
        <v>3.8</v>
      </c>
      <c r="L136" s="79">
        <f t="shared" si="20"/>
        <v>1</v>
      </c>
    </row>
    <row r="137" spans="1:12" ht="12.75">
      <c r="A137" s="160">
        <v>107</v>
      </c>
      <c r="B137" s="160">
        <f t="shared" si="19"/>
        <v>16.71875</v>
      </c>
      <c r="C137" s="160">
        <f t="shared" si="21"/>
        <v>84</v>
      </c>
      <c r="D137" s="199">
        <f t="shared" si="22"/>
        <v>59.719022905548165</v>
      </c>
      <c r="E137" s="160">
        <f t="shared" si="15"/>
        <v>59</v>
      </c>
      <c r="F137" s="79"/>
      <c r="G137" s="79">
        <f t="shared" si="23"/>
        <v>10.999999999999995</v>
      </c>
      <c r="H137" s="79"/>
      <c r="I137" s="79"/>
      <c r="J137" s="171">
        <f t="shared" si="24"/>
        <v>7.2</v>
      </c>
      <c r="K137" s="79">
        <f t="shared" si="25"/>
        <v>3.8</v>
      </c>
      <c r="L137" s="79">
        <f t="shared" si="20"/>
        <v>1</v>
      </c>
    </row>
    <row r="138" spans="1:12" ht="12.75">
      <c r="A138" s="160">
        <v>108</v>
      </c>
      <c r="B138" s="160">
        <f t="shared" si="19"/>
        <v>16.875</v>
      </c>
      <c r="C138" s="160">
        <f t="shared" si="21"/>
        <v>85</v>
      </c>
      <c r="D138" s="199">
        <f t="shared" si="22"/>
        <v>61.04186515814985</v>
      </c>
      <c r="E138" s="160">
        <f t="shared" si="15"/>
        <v>61</v>
      </c>
      <c r="F138" s="79"/>
      <c r="G138" s="79">
        <f t="shared" si="23"/>
        <v>11</v>
      </c>
      <c r="H138" s="79"/>
      <c r="I138" s="79"/>
      <c r="J138" s="171">
        <f t="shared" si="24"/>
        <v>7.2</v>
      </c>
      <c r="K138" s="79">
        <f t="shared" si="25"/>
        <v>3.8</v>
      </c>
      <c r="L138" s="79">
        <f t="shared" si="20"/>
        <v>1</v>
      </c>
    </row>
    <row r="139" spans="1:12" ht="12.75">
      <c r="A139" s="160">
        <v>109</v>
      </c>
      <c r="B139" s="160">
        <f t="shared" si="19"/>
        <v>17.03125</v>
      </c>
      <c r="C139" s="160">
        <f t="shared" si="21"/>
        <v>87</v>
      </c>
      <c r="D139" s="199">
        <f t="shared" si="22"/>
        <v>62.39400982629896</v>
      </c>
      <c r="E139" s="160">
        <f t="shared" si="15"/>
        <v>62</v>
      </c>
      <c r="F139" s="79"/>
      <c r="G139" s="79">
        <f t="shared" si="23"/>
        <v>10.999999999999998</v>
      </c>
      <c r="H139" s="79"/>
      <c r="I139" s="79"/>
      <c r="J139" s="171">
        <f t="shared" si="24"/>
        <v>7.2</v>
      </c>
      <c r="K139" s="79">
        <f t="shared" si="25"/>
        <v>3.8</v>
      </c>
      <c r="L139" s="79">
        <f t="shared" si="20"/>
        <v>1</v>
      </c>
    </row>
    <row r="140" spans="1:12" ht="12.75">
      <c r="A140" s="160">
        <v>110</v>
      </c>
      <c r="B140" s="160">
        <f t="shared" si="19"/>
        <v>17.1875</v>
      </c>
      <c r="C140" s="160">
        <f t="shared" si="21"/>
        <v>89</v>
      </c>
      <c r="D140" s="199">
        <f t="shared" si="22"/>
        <v>63.776105990832846</v>
      </c>
      <c r="E140" s="160">
        <f t="shared" si="15"/>
        <v>63</v>
      </c>
      <c r="F140" s="79"/>
      <c r="G140" s="79">
        <f t="shared" si="23"/>
        <v>11</v>
      </c>
      <c r="H140" s="79"/>
      <c r="I140" s="79"/>
      <c r="J140" s="171">
        <f t="shared" si="24"/>
        <v>7.2</v>
      </c>
      <c r="K140" s="79">
        <f t="shared" si="25"/>
        <v>3.8</v>
      </c>
      <c r="L140" s="79">
        <f t="shared" si="20"/>
        <v>1</v>
      </c>
    </row>
    <row r="141" spans="1:12" ht="12.75">
      <c r="A141" s="160">
        <v>111</v>
      </c>
      <c r="B141" s="160">
        <f t="shared" si="19"/>
        <v>17.34375</v>
      </c>
      <c r="C141" s="160">
        <f t="shared" si="21"/>
        <v>90</v>
      </c>
      <c r="D141" s="199">
        <f t="shared" si="22"/>
        <v>65.18881711044554</v>
      </c>
      <c r="E141" s="160">
        <f t="shared" si="15"/>
        <v>65</v>
      </c>
      <c r="F141" s="79"/>
      <c r="G141" s="79">
        <f t="shared" si="23"/>
        <v>10.999999999999996</v>
      </c>
      <c r="H141" s="79"/>
      <c r="I141" s="79"/>
      <c r="J141" s="171">
        <f t="shared" si="24"/>
        <v>7.2</v>
      </c>
      <c r="K141" s="79">
        <f t="shared" si="25"/>
        <v>3.8</v>
      </c>
      <c r="L141" s="79">
        <f t="shared" si="20"/>
        <v>1</v>
      </c>
    </row>
    <row r="142" spans="1:12" ht="12.75">
      <c r="A142" s="160">
        <v>112</v>
      </c>
      <c r="B142" s="160">
        <f t="shared" si="19"/>
        <v>17.5</v>
      </c>
      <c r="C142" s="160">
        <f t="shared" si="21"/>
        <v>92</v>
      </c>
      <c r="D142" s="199">
        <f t="shared" si="22"/>
        <v>66.63282134017325</v>
      </c>
      <c r="E142" s="160">
        <f t="shared" si="15"/>
        <v>66</v>
      </c>
      <c r="F142" s="79"/>
      <c r="G142" s="79">
        <f t="shared" si="23"/>
        <v>10.999999999999996</v>
      </c>
      <c r="H142" s="79"/>
      <c r="I142" s="79"/>
      <c r="J142" s="171">
        <f t="shared" si="24"/>
        <v>7.2</v>
      </c>
      <c r="K142" s="79">
        <f t="shared" si="25"/>
        <v>3.8</v>
      </c>
      <c r="L142" s="79">
        <f t="shared" si="20"/>
        <v>1</v>
      </c>
    </row>
    <row r="143" spans="1:12" ht="12.75">
      <c r="A143" s="160">
        <v>113</v>
      </c>
      <c r="B143" s="160">
        <f t="shared" si="19"/>
        <v>17.65625</v>
      </c>
      <c r="C143" s="160">
        <f t="shared" si="21"/>
        <v>94</v>
      </c>
      <c r="D143" s="199">
        <f t="shared" si="22"/>
        <v>68.1088118569345</v>
      </c>
      <c r="E143" s="160">
        <f t="shared" si="15"/>
        <v>68</v>
      </c>
      <c r="F143" s="79"/>
      <c r="G143" s="79">
        <f t="shared" si="23"/>
        <v>10.999999999999996</v>
      </c>
      <c r="H143" s="79"/>
      <c r="I143" s="79"/>
      <c r="J143" s="171">
        <f t="shared" si="24"/>
        <v>7.2</v>
      </c>
      <c r="K143" s="79">
        <f t="shared" si="25"/>
        <v>3.8</v>
      </c>
      <c r="L143" s="79">
        <f t="shared" si="20"/>
        <v>1</v>
      </c>
    </row>
    <row r="144" spans="1:12" ht="12.75">
      <c r="A144" s="160">
        <v>114</v>
      </c>
      <c r="B144" s="160">
        <f t="shared" si="19"/>
        <v>17.8125</v>
      </c>
      <c r="C144" s="160">
        <f t="shared" si="21"/>
        <v>95</v>
      </c>
      <c r="D144" s="199">
        <f t="shared" si="22"/>
        <v>69.61749719228148</v>
      </c>
      <c r="E144" s="160">
        <f t="shared" si="15"/>
        <v>69</v>
      </c>
      <c r="F144" s="79"/>
      <c r="G144" s="79">
        <f t="shared" si="23"/>
        <v>11</v>
      </c>
      <c r="H144" s="79"/>
      <c r="I144" s="79"/>
      <c r="J144" s="171">
        <f t="shared" si="24"/>
        <v>7.2</v>
      </c>
      <c r="K144" s="79">
        <f t="shared" si="25"/>
        <v>3.8</v>
      </c>
      <c r="L144" s="79">
        <f t="shared" si="20"/>
        <v>1</v>
      </c>
    </row>
    <row r="145" spans="1:12" ht="12.75">
      <c r="A145" s="160">
        <v>115</v>
      </c>
      <c r="B145" s="160">
        <f t="shared" si="19"/>
        <v>17.96875</v>
      </c>
      <c r="C145" s="160">
        <f t="shared" si="21"/>
        <v>97</v>
      </c>
      <c r="D145" s="199">
        <f t="shared" si="22"/>
        <v>71.15960157252191</v>
      </c>
      <c r="E145" s="160">
        <f t="shared" si="15"/>
        <v>71</v>
      </c>
      <c r="F145" s="79"/>
      <c r="G145" s="79">
        <f t="shared" si="23"/>
        <v>10.999999999999998</v>
      </c>
      <c r="H145" s="79"/>
      <c r="I145" s="79"/>
      <c r="J145" s="171">
        <f t="shared" si="24"/>
        <v>7.2</v>
      </c>
      <c r="K145" s="79">
        <f t="shared" si="25"/>
        <v>3.8</v>
      </c>
      <c r="L145" s="79">
        <f t="shared" si="20"/>
        <v>1</v>
      </c>
    </row>
    <row r="146" spans="1:12" ht="12.75">
      <c r="A146" s="160">
        <v>116</v>
      </c>
      <c r="B146" s="160">
        <f t="shared" si="19"/>
        <v>18.125</v>
      </c>
      <c r="C146" s="160">
        <f t="shared" si="21"/>
        <v>99</v>
      </c>
      <c r="D146" s="199">
        <f t="shared" si="22"/>
        <v>72.73586526637554</v>
      </c>
      <c r="E146" s="160">
        <f t="shared" si="15"/>
        <v>72</v>
      </c>
      <c r="F146" s="79"/>
      <c r="G146" s="79">
        <f t="shared" si="23"/>
        <v>11</v>
      </c>
      <c r="H146" s="79"/>
      <c r="I146" s="79"/>
      <c r="J146" s="171">
        <f t="shared" si="24"/>
        <v>7.2</v>
      </c>
      <c r="K146" s="79">
        <f t="shared" si="25"/>
        <v>3.8</v>
      </c>
      <c r="L146" s="79">
        <f t="shared" si="20"/>
        <v>1</v>
      </c>
    </row>
    <row r="147" spans="1:12" ht="12.75">
      <c r="A147" s="160">
        <v>117</v>
      </c>
      <c r="B147" s="160">
        <f t="shared" si="19"/>
        <v>18.28125</v>
      </c>
      <c r="C147" s="160">
        <f t="shared" si="21"/>
        <v>100</v>
      </c>
      <c r="D147" s="199">
        <f t="shared" si="22"/>
        <v>74.34704494033102</v>
      </c>
      <c r="E147" s="160">
        <f t="shared" si="15"/>
        <v>74</v>
      </c>
      <c r="F147" s="79"/>
      <c r="G147" s="79">
        <f t="shared" si="23"/>
        <v>10.999999999999996</v>
      </c>
      <c r="H147" s="79"/>
      <c r="I147" s="79"/>
      <c r="J147" s="171">
        <f t="shared" si="24"/>
        <v>7.2</v>
      </c>
      <c r="K147" s="79">
        <f t="shared" si="25"/>
        <v>3.8</v>
      </c>
      <c r="L147" s="79">
        <f t="shared" si="20"/>
        <v>1</v>
      </c>
    </row>
    <row r="148" spans="1:12" ht="12.75">
      <c r="A148" s="160">
        <v>118</v>
      </c>
      <c r="B148" s="160">
        <f t="shared" si="19"/>
        <v>18.4375</v>
      </c>
      <c r="C148" s="160">
        <f t="shared" si="21"/>
        <v>102</v>
      </c>
      <c r="D148" s="199">
        <f t="shared" si="22"/>
        <v>75.99391402187463</v>
      </c>
      <c r="E148" s="160">
        <f t="shared" si="15"/>
        <v>75</v>
      </c>
      <c r="F148" s="79"/>
      <c r="G148" s="79">
        <f t="shared" si="23"/>
        <v>10.999999999999998</v>
      </c>
      <c r="H148" s="79"/>
      <c r="I148" s="79"/>
      <c r="J148" s="171">
        <f t="shared" si="24"/>
        <v>7.2</v>
      </c>
      <c r="K148" s="79">
        <f t="shared" si="25"/>
        <v>3.8</v>
      </c>
      <c r="L148" s="79">
        <f t="shared" si="20"/>
        <v>1</v>
      </c>
    </row>
    <row r="149" spans="1:12" ht="12.75">
      <c r="A149" s="160">
        <v>119</v>
      </c>
      <c r="B149" s="160">
        <f t="shared" si="19"/>
        <v>18.59375</v>
      </c>
      <c r="C149" s="160">
        <f t="shared" si="21"/>
        <v>104</v>
      </c>
      <c r="D149" s="199">
        <f t="shared" si="22"/>
        <v>77.6772630707649</v>
      </c>
      <c r="E149" s="160">
        <f t="shared" si="15"/>
        <v>77</v>
      </c>
      <c r="F149" s="79"/>
      <c r="G149" s="79">
        <f t="shared" si="23"/>
        <v>10.999999999999996</v>
      </c>
      <c r="H149" s="79"/>
      <c r="I149" s="79"/>
      <c r="J149" s="171">
        <f t="shared" si="24"/>
        <v>7.2</v>
      </c>
      <c r="K149" s="79">
        <f t="shared" si="25"/>
        <v>3.8</v>
      </c>
      <c r="L149" s="79">
        <f t="shared" si="20"/>
        <v>1</v>
      </c>
    </row>
    <row r="150" spans="1:12" ht="12.75">
      <c r="A150" s="160">
        <v>120</v>
      </c>
      <c r="B150" s="160">
        <f t="shared" si="19"/>
        <v>18.75</v>
      </c>
      <c r="C150" s="160">
        <f t="shared" si="21"/>
        <v>105</v>
      </c>
      <c r="D150" s="199">
        <f t="shared" si="22"/>
        <v>79.39790015853141</v>
      </c>
      <c r="E150" s="160">
        <f t="shared" si="15"/>
        <v>79</v>
      </c>
      <c r="F150" s="79"/>
      <c r="G150" s="79">
        <f t="shared" si="23"/>
        <v>11</v>
      </c>
      <c r="H150" s="79"/>
      <c r="I150" s="79"/>
      <c r="J150" s="171">
        <f t="shared" si="24"/>
        <v>7.2</v>
      </c>
      <c r="K150" s="79">
        <f t="shared" si="25"/>
        <v>3.8</v>
      </c>
      <c r="L150" s="79">
        <f t="shared" si="20"/>
        <v>1</v>
      </c>
    </row>
    <row r="151" spans="1:12" ht="12.75">
      <c r="A151" s="160">
        <v>121</v>
      </c>
      <c r="B151" s="160">
        <f t="shared" si="19"/>
        <v>18.90625</v>
      </c>
      <c r="C151" s="160">
        <f t="shared" si="21"/>
        <v>107</v>
      </c>
      <c r="D151" s="199">
        <f t="shared" si="22"/>
        <v>81.15665125637955</v>
      </c>
      <c r="E151" s="160">
        <f t="shared" si="15"/>
        <v>81</v>
      </c>
      <c r="F151" s="79"/>
      <c r="G151" s="79">
        <f t="shared" si="23"/>
        <v>11</v>
      </c>
      <c r="H151" s="79"/>
      <c r="I151" s="79"/>
      <c r="J151" s="171">
        <f t="shared" si="24"/>
        <v>7.2</v>
      </c>
      <c r="K151" s="79">
        <f t="shared" si="25"/>
        <v>3.8</v>
      </c>
      <c r="L151" s="79">
        <f t="shared" si="20"/>
        <v>1</v>
      </c>
    </row>
    <row r="152" spans="1:12" ht="12.75">
      <c r="A152" s="160">
        <v>122</v>
      </c>
      <c r="B152" s="160">
        <f t="shared" si="19"/>
        <v>19.0625</v>
      </c>
      <c r="C152" s="160">
        <f t="shared" si="21"/>
        <v>109</v>
      </c>
      <c r="D152" s="199">
        <f t="shared" si="22"/>
        <v>82.95436063168849</v>
      </c>
      <c r="E152" s="160">
        <f t="shared" si="15"/>
        <v>82</v>
      </c>
      <c r="F152" s="79"/>
      <c r="G152" s="79">
        <f t="shared" si="23"/>
        <v>10.999999999999998</v>
      </c>
      <c r="H152" s="79"/>
      <c r="I152" s="79"/>
      <c r="J152" s="171">
        <f t="shared" si="24"/>
        <v>7.2</v>
      </c>
      <c r="K152" s="79">
        <f t="shared" si="25"/>
        <v>3.8</v>
      </c>
      <c r="L152" s="79">
        <f t="shared" si="20"/>
        <v>1</v>
      </c>
    </row>
    <row r="153" spans="1:12" ht="12.75">
      <c r="A153" s="160">
        <v>123</v>
      </c>
      <c r="B153" s="160">
        <f t="shared" si="19"/>
        <v>19.21875</v>
      </c>
      <c r="C153" s="160">
        <f t="shared" si="21"/>
        <v>111</v>
      </c>
      <c r="D153" s="199">
        <f t="shared" si="22"/>
        <v>84.7918912532914</v>
      </c>
      <c r="E153" s="160">
        <f t="shared" si="15"/>
        <v>84</v>
      </c>
      <c r="F153" s="79"/>
      <c r="G153" s="79">
        <f t="shared" si="23"/>
        <v>10.999999999999996</v>
      </c>
      <c r="H153" s="79"/>
      <c r="I153" s="79"/>
      <c r="J153" s="171">
        <f t="shared" si="24"/>
        <v>7.2</v>
      </c>
      <c r="K153" s="79">
        <f t="shared" si="25"/>
        <v>3.8</v>
      </c>
      <c r="L153" s="79">
        <f t="shared" si="20"/>
        <v>1</v>
      </c>
    </row>
    <row r="154" spans="1:12" ht="12.75">
      <c r="A154" s="160">
        <v>124</v>
      </c>
      <c r="B154" s="160">
        <f t="shared" si="19"/>
        <v>19.375</v>
      </c>
      <c r="C154" s="160">
        <f t="shared" si="21"/>
        <v>113</v>
      </c>
      <c r="D154" s="199">
        <f t="shared" si="22"/>
        <v>86.6701252057333</v>
      </c>
      <c r="E154" s="160">
        <f t="shared" si="15"/>
        <v>86</v>
      </c>
      <c r="F154" s="79"/>
      <c r="G154" s="79">
        <f t="shared" si="23"/>
        <v>10.999999999999998</v>
      </c>
      <c r="H154" s="79"/>
      <c r="I154" s="79"/>
      <c r="J154" s="171">
        <f t="shared" si="24"/>
        <v>7.2</v>
      </c>
      <c r="K154" s="79">
        <f t="shared" si="25"/>
        <v>3.8</v>
      </c>
      <c r="L154" s="79">
        <f t="shared" si="20"/>
        <v>1</v>
      </c>
    </row>
    <row r="155" spans="1:12" ht="12.75">
      <c r="A155" s="160">
        <v>125</v>
      </c>
      <c r="B155" s="160">
        <f t="shared" si="19"/>
        <v>19.53125</v>
      </c>
      <c r="C155" s="160">
        <f t="shared" si="21"/>
        <v>114</v>
      </c>
      <c r="D155" s="199">
        <f t="shared" si="22"/>
        <v>88.5899641127052</v>
      </c>
      <c r="E155" s="160">
        <f t="shared" si="15"/>
        <v>88</v>
      </c>
      <c r="F155" s="79"/>
      <c r="G155" s="79">
        <f t="shared" si="23"/>
        <v>10.999999999999995</v>
      </c>
      <c r="H155" s="79"/>
      <c r="I155" s="79"/>
      <c r="J155" s="171">
        <f t="shared" si="24"/>
        <v>7.2</v>
      </c>
      <c r="K155" s="79">
        <f t="shared" si="25"/>
        <v>3.8</v>
      </c>
      <c r="L155" s="79">
        <f t="shared" si="20"/>
        <v>1</v>
      </c>
    </row>
    <row r="156" spans="1:12" ht="12.75">
      <c r="A156" s="160">
        <v>126</v>
      </c>
      <c r="B156" s="160">
        <f t="shared" si="19"/>
        <v>19.6875</v>
      </c>
      <c r="C156" s="160">
        <f t="shared" si="21"/>
        <v>116</v>
      </c>
      <c r="D156" s="199">
        <f t="shared" si="22"/>
        <v>90.5523295698578</v>
      </c>
      <c r="E156" s="160">
        <f t="shared" si="15"/>
        <v>90</v>
      </c>
      <c r="F156" s="79"/>
      <c r="G156" s="79">
        <f t="shared" si="23"/>
        <v>11</v>
      </c>
      <c r="H156" s="79"/>
      <c r="I156" s="79"/>
      <c r="J156" s="171">
        <f t="shared" si="24"/>
        <v>7.2</v>
      </c>
      <c r="K156" s="79">
        <f t="shared" si="25"/>
        <v>3.8</v>
      </c>
      <c r="L156" s="79">
        <f>IF(ABS(J156-J157)&gt;0.05,0,IF(ABS(K156-K157)&gt;0.05,0,1))</f>
        <v>1</v>
      </c>
    </row>
    <row r="157" spans="1:12" ht="12.75">
      <c r="A157" s="160">
        <v>127</v>
      </c>
      <c r="B157" s="160">
        <f t="shared" si="19"/>
        <v>19.84375</v>
      </c>
      <c r="C157" s="160">
        <f t="shared" si="21"/>
        <v>118</v>
      </c>
      <c r="D157" s="199">
        <f t="shared" si="22"/>
        <v>92.55816358720207</v>
      </c>
      <c r="E157" s="160">
        <f t="shared" si="15"/>
        <v>92</v>
      </c>
      <c r="F157" s="79"/>
      <c r="G157" s="79">
        <f t="shared" si="23"/>
        <v>10.999999999999995</v>
      </c>
      <c r="H157" s="79"/>
      <c r="I157" s="79"/>
      <c r="J157" s="171">
        <f t="shared" si="24"/>
        <v>7.2</v>
      </c>
      <c r="K157" s="79">
        <f t="shared" si="25"/>
        <v>3.8</v>
      </c>
      <c r="L157" s="79">
        <f t="shared" si="20"/>
        <v>1</v>
      </c>
    </row>
    <row r="158" spans="1:12" ht="13.5" thickBot="1">
      <c r="A158" s="200">
        <v>128</v>
      </c>
      <c r="B158" s="200">
        <f t="shared" si="19"/>
        <v>20</v>
      </c>
      <c r="C158" s="160">
        <f>INT(((B158*SQRT(des_pres_w))/(des_spd_w))^2+0.5)</f>
        <v>120</v>
      </c>
      <c r="D158" s="199">
        <f t="shared" si="22"/>
        <v>94.60842904131074</v>
      </c>
      <c r="E158" s="200">
        <f t="shared" si="15"/>
        <v>94</v>
      </c>
      <c r="F158" s="200"/>
      <c r="G158" s="79">
        <f t="shared" si="23"/>
        <v>11</v>
      </c>
      <c r="H158" s="200"/>
      <c r="I158" s="79"/>
      <c r="J158" s="171">
        <f t="shared" si="24"/>
        <v>7.2</v>
      </c>
      <c r="K158" s="79">
        <f t="shared" si="25"/>
        <v>3.8</v>
      </c>
      <c r="L158" s="79">
        <f t="shared" si="20"/>
        <v>0</v>
      </c>
    </row>
    <row r="159" spans="2:5" ht="13.5" thickTop="1">
      <c r="B159" s="138"/>
      <c r="E159" s="138"/>
    </row>
  </sheetData>
  <sheetProtection/>
  <mergeCells count="6">
    <mergeCell ref="A28:E28"/>
    <mergeCell ref="J16:L18"/>
    <mergeCell ref="J14:L14"/>
    <mergeCell ref="A1:D3"/>
    <mergeCell ref="A4:D4"/>
    <mergeCell ref="E4:H4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CP31"/>
  <sheetViews>
    <sheetView zoomScale="85" zoomScaleNormal="85" workbookViewId="0" topLeftCell="A1">
      <selection activeCell="B12" sqref="B12"/>
    </sheetView>
  </sheetViews>
  <sheetFormatPr defaultColWidth="9.140625" defaultRowHeight="12.75"/>
  <cols>
    <col min="8" max="8" width="12.8515625" style="0" bestFit="1" customWidth="1"/>
    <col min="9" max="9" width="7.57421875" style="0" bestFit="1" customWidth="1"/>
    <col min="10" max="10" width="12.8515625" style="0" bestFit="1" customWidth="1"/>
    <col min="11" max="11" width="7.57421875" style="0" bestFit="1" customWidth="1"/>
    <col min="12" max="12" width="12.8515625" style="0" bestFit="1" customWidth="1"/>
    <col min="13" max="13" width="12.57421875" style="0" bestFit="1" customWidth="1"/>
    <col min="14" max="14" width="12.8515625" style="0" bestFit="1" customWidth="1"/>
    <col min="15" max="15" width="10.421875" style="0" bestFit="1" customWidth="1"/>
    <col min="16" max="16" width="12.8515625" style="0" customWidth="1"/>
    <col min="17" max="17" width="10.421875" style="0" bestFit="1" customWidth="1"/>
    <col min="18" max="18" width="12.8515625" style="0" customWidth="1"/>
    <col min="20" max="20" width="12.8515625" style="0" bestFit="1" customWidth="1"/>
  </cols>
  <sheetData>
    <row r="1" ht="12.75">
      <c r="A1" s="167" t="s">
        <v>238</v>
      </c>
    </row>
    <row r="2" spans="2:6" ht="12.75">
      <c r="B2" s="167" t="s">
        <v>229</v>
      </c>
      <c r="C2" s="167"/>
      <c r="D2" s="167"/>
      <c r="E2" s="167"/>
      <c r="F2" s="167"/>
    </row>
    <row r="3" spans="2:6" ht="12.75">
      <c r="B3" s="167" t="s">
        <v>66</v>
      </c>
      <c r="C3" s="167"/>
      <c r="D3" s="167"/>
      <c r="E3" s="167"/>
      <c r="F3" s="167"/>
    </row>
    <row r="4" spans="2:28" ht="12.75">
      <c r="B4" s="167" t="s">
        <v>271</v>
      </c>
      <c r="C4" s="167"/>
      <c r="D4" s="167" t="s">
        <v>272</v>
      </c>
      <c r="E4" s="167"/>
      <c r="F4" s="167" t="s">
        <v>273</v>
      </c>
      <c r="H4" s="167" t="s">
        <v>231</v>
      </c>
      <c r="I4" s="167"/>
      <c r="J4" s="167" t="s">
        <v>234</v>
      </c>
      <c r="K4" s="167"/>
      <c r="L4" s="167" t="s">
        <v>233</v>
      </c>
      <c r="N4" s="167" t="s">
        <v>232</v>
      </c>
      <c r="O4" s="167"/>
      <c r="P4" s="167" t="s">
        <v>237</v>
      </c>
      <c r="Q4" s="167"/>
      <c r="R4" s="167" t="s">
        <v>239</v>
      </c>
      <c r="S4" s="167"/>
      <c r="T4" s="167" t="s">
        <v>240</v>
      </c>
      <c r="V4" s="167" t="s">
        <v>270</v>
      </c>
      <c r="X4" s="168" t="s">
        <v>187</v>
      </c>
      <c r="Z4" s="168" t="s">
        <v>188</v>
      </c>
      <c r="AB4" s="168" t="s">
        <v>169</v>
      </c>
    </row>
    <row r="5" spans="2:29" ht="12.75">
      <c r="B5" s="167">
        <v>1</v>
      </c>
      <c r="C5" s="167"/>
      <c r="D5" s="167">
        <v>2</v>
      </c>
      <c r="E5" s="167"/>
      <c r="F5" s="167">
        <v>3</v>
      </c>
      <c r="H5" s="167">
        <v>4</v>
      </c>
      <c r="I5" s="167"/>
      <c r="J5" s="167">
        <v>5</v>
      </c>
      <c r="K5" s="167"/>
      <c r="L5" s="167">
        <v>6</v>
      </c>
      <c r="N5" s="167">
        <v>7</v>
      </c>
      <c r="O5" s="167"/>
      <c r="P5" s="167">
        <v>8</v>
      </c>
      <c r="Q5" s="167"/>
      <c r="R5" s="167">
        <v>9</v>
      </c>
      <c r="S5" s="167"/>
      <c r="T5" s="167">
        <v>10</v>
      </c>
      <c r="V5" s="167">
        <v>11</v>
      </c>
      <c r="X5" s="168">
        <v>12</v>
      </c>
      <c r="Y5" s="1"/>
      <c r="Z5" s="168">
        <v>13</v>
      </c>
      <c r="AA5" s="1"/>
      <c r="AB5" s="168">
        <v>14</v>
      </c>
      <c r="AC5" s="1"/>
    </row>
    <row r="6" spans="2:29" ht="12.75">
      <c r="B6" t="s">
        <v>184</v>
      </c>
      <c r="C6" t="s">
        <v>230</v>
      </c>
      <c r="D6" t="s">
        <v>184</v>
      </c>
      <c r="E6" t="s">
        <v>230</v>
      </c>
      <c r="F6" t="s">
        <v>184</v>
      </c>
      <c r="G6" t="s">
        <v>230</v>
      </c>
      <c r="H6" t="s">
        <v>184</v>
      </c>
      <c r="I6" t="s">
        <v>230</v>
      </c>
      <c r="J6" t="s">
        <v>124</v>
      </c>
      <c r="K6" t="s">
        <v>118</v>
      </c>
      <c r="L6" t="s">
        <v>124</v>
      </c>
      <c r="M6" t="s">
        <v>118</v>
      </c>
      <c r="N6" t="s">
        <v>124</v>
      </c>
      <c r="O6" t="s">
        <v>118</v>
      </c>
      <c r="P6" t="s">
        <v>124</v>
      </c>
      <c r="Q6" t="s">
        <v>118</v>
      </c>
      <c r="R6" t="s">
        <v>124</v>
      </c>
      <c r="S6" t="s">
        <v>118</v>
      </c>
      <c r="T6" t="s">
        <v>124</v>
      </c>
      <c r="U6" t="s">
        <v>118</v>
      </c>
      <c r="V6" t="s">
        <v>124</v>
      </c>
      <c r="W6" t="s">
        <v>118</v>
      </c>
      <c r="X6" t="s">
        <v>184</v>
      </c>
      <c r="Y6" s="1" t="s">
        <v>185</v>
      </c>
      <c r="Z6" s="1" t="s">
        <v>184</v>
      </c>
      <c r="AA6" s="1" t="s">
        <v>185</v>
      </c>
      <c r="AB6" s="1" t="s">
        <v>184</v>
      </c>
      <c r="AC6" s="1" t="s">
        <v>185</v>
      </c>
    </row>
    <row r="7" spans="2:29" ht="12.75">
      <c r="B7">
        <v>20</v>
      </c>
      <c r="C7">
        <v>0.11</v>
      </c>
      <c r="D7">
        <v>20</v>
      </c>
      <c r="E7">
        <v>0.21</v>
      </c>
      <c r="F7">
        <v>20</v>
      </c>
      <c r="G7">
        <v>0.42</v>
      </c>
      <c r="H7">
        <v>10</v>
      </c>
      <c r="I7">
        <v>0.2</v>
      </c>
      <c r="J7">
        <v>10</v>
      </c>
      <c r="K7">
        <v>0.4</v>
      </c>
      <c r="L7">
        <v>10</v>
      </c>
      <c r="M7">
        <v>0.75</v>
      </c>
      <c r="N7">
        <v>10</v>
      </c>
      <c r="O7">
        <v>0.3</v>
      </c>
      <c r="P7">
        <v>10</v>
      </c>
      <c r="Q7">
        <v>0.5</v>
      </c>
      <c r="R7">
        <v>10</v>
      </c>
      <c r="S7">
        <v>1</v>
      </c>
      <c r="T7">
        <v>10</v>
      </c>
      <c r="U7">
        <v>1.5</v>
      </c>
      <c r="V7">
        <v>30</v>
      </c>
      <c r="W7">
        <v>0.043</v>
      </c>
      <c r="X7" s="1">
        <v>30</v>
      </c>
      <c r="Y7" s="1">
        <v>0.087</v>
      </c>
      <c r="Z7" s="1">
        <v>30</v>
      </c>
      <c r="AA7" s="1">
        <v>0.17</v>
      </c>
      <c r="AB7" s="1">
        <v>30</v>
      </c>
      <c r="AC7" s="1">
        <v>0.35</v>
      </c>
    </row>
    <row r="8" spans="2:29" ht="12.75">
      <c r="B8">
        <v>30</v>
      </c>
      <c r="C8">
        <v>0.13</v>
      </c>
      <c r="D8">
        <v>30</v>
      </c>
      <c r="E8">
        <v>0.26</v>
      </c>
      <c r="F8">
        <v>30</v>
      </c>
      <c r="G8">
        <v>0.52</v>
      </c>
      <c r="H8">
        <v>20</v>
      </c>
      <c r="I8">
        <v>0.28</v>
      </c>
      <c r="J8">
        <v>20</v>
      </c>
      <c r="K8">
        <v>0.57</v>
      </c>
      <c r="L8">
        <v>20</v>
      </c>
      <c r="M8">
        <v>1.06</v>
      </c>
      <c r="N8">
        <v>20</v>
      </c>
      <c r="O8">
        <v>0.42</v>
      </c>
      <c r="P8">
        <v>20</v>
      </c>
      <c r="Q8">
        <v>0.71</v>
      </c>
      <c r="R8">
        <v>20</v>
      </c>
      <c r="S8">
        <v>1.41</v>
      </c>
      <c r="T8">
        <v>20</v>
      </c>
      <c r="U8">
        <v>2.12</v>
      </c>
      <c r="V8">
        <v>40</v>
      </c>
      <c r="W8">
        <v>0.05</v>
      </c>
      <c r="X8" s="1">
        <v>35</v>
      </c>
      <c r="Y8" s="1">
        <v>0.094</v>
      </c>
      <c r="Z8" s="1">
        <v>35</v>
      </c>
      <c r="AA8" s="1">
        <v>0.19</v>
      </c>
      <c r="AB8" s="1">
        <v>35</v>
      </c>
      <c r="AC8" s="1">
        <v>0.37</v>
      </c>
    </row>
    <row r="9" spans="2:29" ht="12.75">
      <c r="B9">
        <v>40</v>
      </c>
      <c r="C9">
        <v>0.15</v>
      </c>
      <c r="D9">
        <v>40</v>
      </c>
      <c r="E9">
        <v>0.3</v>
      </c>
      <c r="F9">
        <v>40</v>
      </c>
      <c r="G9">
        <v>0.6</v>
      </c>
      <c r="H9">
        <v>30</v>
      </c>
      <c r="I9">
        <v>0.35</v>
      </c>
      <c r="J9">
        <v>30</v>
      </c>
      <c r="K9">
        <v>0.69</v>
      </c>
      <c r="L9">
        <v>30</v>
      </c>
      <c r="M9">
        <v>1.3</v>
      </c>
      <c r="N9">
        <v>30</v>
      </c>
      <c r="O9">
        <v>0.52</v>
      </c>
      <c r="P9">
        <v>30</v>
      </c>
      <c r="Q9">
        <v>0.87</v>
      </c>
      <c r="R9">
        <v>30</v>
      </c>
      <c r="S9">
        <v>1.73</v>
      </c>
      <c r="T9">
        <v>30</v>
      </c>
      <c r="U9">
        <v>2.6</v>
      </c>
      <c r="V9">
        <v>50</v>
      </c>
      <c r="W9">
        <v>0.056</v>
      </c>
      <c r="X9" s="1">
        <v>40</v>
      </c>
      <c r="Y9" s="1">
        <v>0.1</v>
      </c>
      <c r="Z9" s="1">
        <v>40</v>
      </c>
      <c r="AA9" s="1">
        <v>0.2</v>
      </c>
      <c r="AB9" s="1">
        <v>40</v>
      </c>
      <c r="AC9" s="1">
        <v>0.4</v>
      </c>
    </row>
    <row r="10" spans="2:29" ht="12.75">
      <c r="B10">
        <v>50</v>
      </c>
      <c r="C10">
        <v>0.17</v>
      </c>
      <c r="D10">
        <v>50</v>
      </c>
      <c r="E10">
        <v>0.34</v>
      </c>
      <c r="F10">
        <v>50</v>
      </c>
      <c r="G10">
        <v>0.67</v>
      </c>
      <c r="H10">
        <v>40</v>
      </c>
      <c r="I10">
        <v>0.4</v>
      </c>
      <c r="J10">
        <v>40</v>
      </c>
      <c r="K10">
        <v>0.8</v>
      </c>
      <c r="L10">
        <v>40</v>
      </c>
      <c r="M10">
        <v>1.5</v>
      </c>
      <c r="N10">
        <v>40</v>
      </c>
      <c r="O10">
        <v>0.6</v>
      </c>
      <c r="P10">
        <v>40</v>
      </c>
      <c r="Q10">
        <v>1</v>
      </c>
      <c r="R10">
        <v>40</v>
      </c>
      <c r="S10">
        <v>2</v>
      </c>
      <c r="T10">
        <v>40</v>
      </c>
      <c r="U10">
        <v>3</v>
      </c>
      <c r="V10">
        <v>60</v>
      </c>
      <c r="W10">
        <v>0.061</v>
      </c>
      <c r="X10" s="1">
        <v>50</v>
      </c>
      <c r="Y10" s="1">
        <v>0.11</v>
      </c>
      <c r="Z10" s="1">
        <v>50</v>
      </c>
      <c r="AA10" s="1">
        <v>0.22</v>
      </c>
      <c r="AB10" s="1">
        <v>50</v>
      </c>
      <c r="AC10" s="1">
        <v>0.45</v>
      </c>
    </row>
    <row r="11" spans="24:29" ht="12.75">
      <c r="X11" s="1">
        <v>60</v>
      </c>
      <c r="Y11" s="1">
        <v>0.12</v>
      </c>
      <c r="Z11" s="1">
        <v>60</v>
      </c>
      <c r="AA11" s="1">
        <v>0.24</v>
      </c>
      <c r="AB11" s="1">
        <v>60</v>
      </c>
      <c r="AC11" s="1">
        <v>0.49</v>
      </c>
    </row>
    <row r="12" spans="1:28" ht="12.75">
      <c r="A12" t="s">
        <v>119</v>
      </c>
      <c r="B12">
        <f>INDEX(LINEST(C7:C10,(LN(B7:B10))),1)</f>
        <v>0.06467839106452264</v>
      </c>
      <c r="D12">
        <f>INDEX(LINEST(E7:E10,(LN(D7:D10))),1)</f>
        <v>0.14008610507330216</v>
      </c>
      <c r="F12">
        <f>INDEX(LINEST(G7:G10,(LN(F7:F10))),1)</f>
        <v>0.27138460533230047</v>
      </c>
      <c r="H12">
        <f>INDEX(LINEST(I7:I10,(LN(H7:H10))),1)</f>
        <v>0.14375634200652465</v>
      </c>
      <c r="J12">
        <f>INDEX(LINEST(K7:K10,(LN(J7:J10))),1)</f>
        <v>0.283772946825932</v>
      </c>
      <c r="L12">
        <f>INDEX(LINEST(M7:M10,(LN(L7:L10))),1)</f>
        <v>0.5346453446147656</v>
      </c>
      <c r="N12">
        <f>INDEX(LINEST(O7:O10,(LN(N7:N10))),1)</f>
        <v>0.214232111564618</v>
      </c>
      <c r="P12">
        <f>INDEX(LINEST(Q7:Q10,(LN(P7:P10))),1)</f>
        <v>0.35705351927436324</v>
      </c>
      <c r="R12">
        <f>INDEX(LINEST(S7:S10,(LN(R7:R10))),1)</f>
        <v>0.712237169955168</v>
      </c>
      <c r="T12">
        <f>INDEX(LINEST(U7:U10,(LN(T7:T10))),1)</f>
        <v>1.0692906892295313</v>
      </c>
      <c r="V12">
        <f>INDEX(LINEST(W7:W10,(LN(V7:V10))),1)</f>
        <v>0.025981639777676025</v>
      </c>
      <c r="X12">
        <f>INDEX(LINEST(Y7:Y11,(LN(X7:X11))),1)</f>
        <v>0.0471138957723576</v>
      </c>
      <c r="Z12">
        <f>INDEX(LINEST(AA7:AA11,(LN(Z7:Z11))),1)</f>
        <v>0.09738479326906888</v>
      </c>
      <c r="AB12">
        <f>INDEX(LINEST(AC7:AC11,(LN(AB7:AB11))),1)</f>
        <v>0.20755601020793363</v>
      </c>
    </row>
    <row r="13" spans="1:28" ht="12.75">
      <c r="A13" t="s">
        <v>120</v>
      </c>
      <c r="B13">
        <f>INDEX(LINEST(C7:C10,(LN(B7:B10))),2)</f>
        <v>-0.08633931489346663</v>
      </c>
      <c r="D13">
        <f>INDEX(LINEST(E7:E10,(LN(D7:D10))),2)</f>
        <v>-0.21272544510661612</v>
      </c>
      <c r="F13">
        <f>INDEX(LINEST(G7:G10,(LN(F7:F10))),2)</f>
        <v>-0.39719903599286566</v>
      </c>
      <c r="H13">
        <f>INDEX(LINEST(I7:I10,(LN(H7:H10))),2)</f>
        <v>-0.13772755846523865</v>
      </c>
      <c r="J13">
        <f>INDEX(LINEST(K7:K10,(LN(J7:J10))),2)</f>
        <v>-0.26387278230870237</v>
      </c>
      <c r="L13">
        <f>INDEX(LINEST(M7:M10,(LN(L7:L10))),2)</f>
        <v>-0.503349321881287</v>
      </c>
      <c r="N13">
        <f>INDEX(LINEST(O7:O10,(LN(N7:N10))),2)</f>
        <v>-0.2034979622146924</v>
      </c>
      <c r="P13">
        <f>INDEX(LINEST(Q7:Q10,(LN(P7:P10))),2)</f>
        <v>-0.33582993702448705</v>
      </c>
      <c r="R13">
        <f>INDEX(LINEST(S7:S10,(LN(R7:R10))),2)</f>
        <v>-0.6708687067380867</v>
      </c>
      <c r="T13">
        <f>INDEX(LINEST(U7:U10,(LN(T7:T10))),2)</f>
        <v>-1.006698643762574</v>
      </c>
      <c r="V13">
        <f>INDEX(LINEST(W7:W10,(LN(V7:V10))),2)</f>
        <v>-0.045557595103384106</v>
      </c>
      <c r="X13">
        <f>INDEX(LINEST(Y7:Y11,(LN(X7:X11))),2)</f>
        <v>-0.07355172123193711</v>
      </c>
      <c r="Z13">
        <f>INDEX(LINEST(AA7:AA11,(LN(Z7:Z11))),2)</f>
        <v>-0.15928019065867938</v>
      </c>
      <c r="AB13">
        <f>INDEX(LINEST(AC7:AC11,(LN(AB7:AB11))),2)</f>
        <v>-0.3622583254488626</v>
      </c>
    </row>
    <row r="18" ht="12.75">
      <c r="A18" s="167" t="s">
        <v>235</v>
      </c>
    </row>
    <row r="19" spans="2:61" ht="12.75">
      <c r="B19" s="167" t="s">
        <v>173</v>
      </c>
      <c r="C19" s="167"/>
      <c r="V19" s="167" t="s">
        <v>195</v>
      </c>
      <c r="W19" s="167"/>
      <c r="Z19" s="167" t="s">
        <v>198</v>
      </c>
      <c r="AP19" s="167" t="s">
        <v>172</v>
      </c>
      <c r="AQ19" s="167"/>
      <c r="BH19" s="167" t="s">
        <v>172</v>
      </c>
      <c r="BI19" s="167"/>
    </row>
    <row r="20" spans="2:77" ht="12.75">
      <c r="B20" s="168" t="s">
        <v>186</v>
      </c>
      <c r="D20" s="168" t="s">
        <v>187</v>
      </c>
      <c r="F20" s="168" t="s">
        <v>189</v>
      </c>
      <c r="H20" s="168" t="s">
        <v>188</v>
      </c>
      <c r="J20" s="167" t="s">
        <v>190</v>
      </c>
      <c r="L20" s="168" t="s">
        <v>169</v>
      </c>
      <c r="N20" s="167" t="s">
        <v>191</v>
      </c>
      <c r="P20" s="167" t="s">
        <v>192</v>
      </c>
      <c r="R20" s="167" t="s">
        <v>193</v>
      </c>
      <c r="T20" s="167" t="s">
        <v>194</v>
      </c>
      <c r="V20" s="167" t="s">
        <v>196</v>
      </c>
      <c r="X20" s="167" t="s">
        <v>197</v>
      </c>
      <c r="Y20" s="1"/>
      <c r="Z20" s="168">
        <v>14</v>
      </c>
      <c r="AA20" s="1"/>
      <c r="AB20" s="167" t="s">
        <v>199</v>
      </c>
      <c r="AD20" s="167" t="s">
        <v>200</v>
      </c>
      <c r="AE20" s="167"/>
      <c r="AF20" s="167" t="s">
        <v>201</v>
      </c>
      <c r="AG20" s="167"/>
      <c r="AH20" s="167" t="s">
        <v>202</v>
      </c>
      <c r="AI20" s="167"/>
      <c r="AJ20" s="167" t="s">
        <v>203</v>
      </c>
      <c r="AK20" s="167"/>
      <c r="AL20" s="167" t="s">
        <v>204</v>
      </c>
      <c r="AM20" s="167"/>
      <c r="AN20" s="167" t="s">
        <v>205</v>
      </c>
      <c r="AO20" s="167"/>
      <c r="AP20" s="167" t="s">
        <v>206</v>
      </c>
      <c r="AQ20" s="167"/>
      <c r="AR20" s="167" t="s">
        <v>207</v>
      </c>
      <c r="AS20" s="167"/>
      <c r="AT20" s="167" t="s">
        <v>208</v>
      </c>
      <c r="AU20" s="167"/>
      <c r="AV20" s="167" t="s">
        <v>170</v>
      </c>
      <c r="AW20" s="167"/>
      <c r="AX20" s="167" t="s">
        <v>209</v>
      </c>
      <c r="AY20" s="167"/>
      <c r="AZ20" s="167" t="s">
        <v>171</v>
      </c>
      <c r="BA20" s="167"/>
      <c r="BB20" s="167" t="s">
        <v>210</v>
      </c>
      <c r="BC20" s="167"/>
      <c r="BD20" s="167" t="s">
        <v>211</v>
      </c>
      <c r="BE20" s="167"/>
      <c r="BF20" s="167" t="s">
        <v>212</v>
      </c>
      <c r="BG20" s="167"/>
      <c r="BH20" s="167" t="s">
        <v>221</v>
      </c>
      <c r="BI20" s="167"/>
      <c r="BJ20" s="167" t="s">
        <v>213</v>
      </c>
      <c r="BK20" s="167"/>
      <c r="BL20" s="167" t="s">
        <v>214</v>
      </c>
      <c r="BM20" s="167"/>
      <c r="BN20" s="167" t="s">
        <v>215</v>
      </c>
      <c r="BO20" s="167"/>
      <c r="BP20" s="167" t="s">
        <v>216</v>
      </c>
      <c r="BQ20" s="167"/>
      <c r="BR20" s="167" t="s">
        <v>217</v>
      </c>
      <c r="BS20" s="167"/>
      <c r="BT20" s="167" t="s">
        <v>218</v>
      </c>
      <c r="BU20" s="167"/>
      <c r="BV20" s="167" t="s">
        <v>219</v>
      </c>
      <c r="BW20" s="167"/>
      <c r="BX20" s="167" t="s">
        <v>220</v>
      </c>
      <c r="BY20" s="167"/>
    </row>
    <row r="21" spans="2:94" s="1" customFormat="1" ht="12.75">
      <c r="B21" s="168">
        <v>2</v>
      </c>
      <c r="D21" s="168">
        <v>3</v>
      </c>
      <c r="F21" s="168">
        <v>4</v>
      </c>
      <c r="H21" s="168">
        <v>5</v>
      </c>
      <c r="J21" s="168">
        <v>6</v>
      </c>
      <c r="L21" s="168">
        <v>7</v>
      </c>
      <c r="N21" s="168">
        <v>8</v>
      </c>
      <c r="P21" s="168">
        <v>9</v>
      </c>
      <c r="R21" s="168">
        <v>10</v>
      </c>
      <c r="T21" s="168">
        <v>11</v>
      </c>
      <c r="V21" s="168">
        <v>12</v>
      </c>
      <c r="X21" s="168">
        <v>13</v>
      </c>
      <c r="Y21" s="1" t="s">
        <v>185</v>
      </c>
      <c r="Z21" s="1" t="s">
        <v>184</v>
      </c>
      <c r="AA21" s="1" t="s">
        <v>185</v>
      </c>
      <c r="AB21" s="168">
        <v>15</v>
      </c>
      <c r="AC21" s="168"/>
      <c r="AD21" s="168">
        <v>16</v>
      </c>
      <c r="AE21" s="168"/>
      <c r="AF21" s="168">
        <v>17</v>
      </c>
      <c r="AG21" s="168"/>
      <c r="AH21" s="168">
        <v>18</v>
      </c>
      <c r="AI21" s="168"/>
      <c r="AJ21" s="168">
        <v>19</v>
      </c>
      <c r="AK21" s="168"/>
      <c r="AL21" s="168">
        <v>20</v>
      </c>
      <c r="AM21" s="168"/>
      <c r="AN21" s="168">
        <v>21</v>
      </c>
      <c r="AO21" s="168"/>
      <c r="AP21" s="168">
        <v>22</v>
      </c>
      <c r="AQ21" s="168"/>
      <c r="AR21" s="168">
        <v>23</v>
      </c>
      <c r="AS21" s="168"/>
      <c r="AT21" s="168">
        <v>24</v>
      </c>
      <c r="AU21" s="168"/>
      <c r="AV21" s="168">
        <v>25</v>
      </c>
      <c r="AW21" s="168"/>
      <c r="AX21" s="168">
        <v>26</v>
      </c>
      <c r="AY21" s="168"/>
      <c r="AZ21" s="168">
        <v>27</v>
      </c>
      <c r="BA21" s="168"/>
      <c r="BB21" s="168">
        <v>28</v>
      </c>
      <c r="BC21" s="168"/>
      <c r="BD21" s="168">
        <v>29</v>
      </c>
      <c r="BE21" s="168"/>
      <c r="BF21" s="168">
        <v>30</v>
      </c>
      <c r="BG21" s="168"/>
      <c r="BH21" s="168">
        <v>31</v>
      </c>
      <c r="BI21" s="168"/>
      <c r="BJ21" s="168">
        <v>32</v>
      </c>
      <c r="BK21" s="168"/>
      <c r="BL21" s="168">
        <v>33</v>
      </c>
      <c r="BM21" s="168"/>
      <c r="BN21" s="168">
        <v>34</v>
      </c>
      <c r="BO21" s="168"/>
      <c r="BP21" s="168">
        <v>35</v>
      </c>
      <c r="BQ21" s="168"/>
      <c r="BR21" s="168">
        <v>36</v>
      </c>
      <c r="BS21" s="168"/>
      <c r="BT21" s="168">
        <v>37</v>
      </c>
      <c r="BU21" s="168"/>
      <c r="BV21" s="168">
        <v>38</v>
      </c>
      <c r="BW21" s="168"/>
      <c r="BX21" s="168">
        <v>39</v>
      </c>
      <c r="BY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</row>
    <row r="22" spans="2:77" ht="12.75">
      <c r="B22" s="1" t="s">
        <v>184</v>
      </c>
      <c r="C22" s="1" t="s">
        <v>185</v>
      </c>
      <c r="D22" t="s">
        <v>184</v>
      </c>
      <c r="E22" s="1" t="s">
        <v>185</v>
      </c>
      <c r="F22" s="1" t="s">
        <v>184</v>
      </c>
      <c r="G22" s="1" t="s">
        <v>185</v>
      </c>
      <c r="H22" s="1" t="s">
        <v>184</v>
      </c>
      <c r="I22" s="1" t="s">
        <v>185</v>
      </c>
      <c r="J22" s="1" t="s">
        <v>184</v>
      </c>
      <c r="K22" s="1" t="s">
        <v>185</v>
      </c>
      <c r="L22" s="1" t="s">
        <v>184</v>
      </c>
      <c r="M22" s="1" t="s">
        <v>185</v>
      </c>
      <c r="N22" s="1" t="s">
        <v>184</v>
      </c>
      <c r="O22" s="1" t="s">
        <v>185</v>
      </c>
      <c r="P22" s="1" t="s">
        <v>184</v>
      </c>
      <c r="Q22" s="1" t="s">
        <v>185</v>
      </c>
      <c r="R22" s="1" t="s">
        <v>184</v>
      </c>
      <c r="S22" s="1" t="s">
        <v>185</v>
      </c>
      <c r="T22" s="1" t="s">
        <v>184</v>
      </c>
      <c r="U22" s="1" t="s">
        <v>185</v>
      </c>
      <c r="V22" s="1" t="s">
        <v>184</v>
      </c>
      <c r="W22" s="1" t="s">
        <v>185</v>
      </c>
      <c r="X22" t="s">
        <v>184</v>
      </c>
      <c r="Y22" s="1">
        <v>0.087</v>
      </c>
      <c r="Z22" s="1">
        <v>30</v>
      </c>
      <c r="AA22" s="1">
        <v>0.13</v>
      </c>
      <c r="AB22" s="1" t="s">
        <v>184</v>
      </c>
      <c r="AC22" s="1" t="s">
        <v>185</v>
      </c>
      <c r="AD22" s="1" t="s">
        <v>184</v>
      </c>
      <c r="AE22" s="1" t="s">
        <v>185</v>
      </c>
      <c r="AF22" s="1" t="s">
        <v>184</v>
      </c>
      <c r="AG22" s="1" t="s">
        <v>185</v>
      </c>
      <c r="AH22" s="1" t="s">
        <v>184</v>
      </c>
      <c r="AI22" s="1" t="s">
        <v>185</v>
      </c>
      <c r="AJ22" s="1" t="s">
        <v>184</v>
      </c>
      <c r="AK22" s="1" t="s">
        <v>185</v>
      </c>
      <c r="AL22" s="1" t="s">
        <v>184</v>
      </c>
      <c r="AM22" s="1" t="s">
        <v>185</v>
      </c>
      <c r="AN22" s="1" t="s">
        <v>184</v>
      </c>
      <c r="AO22" s="1" t="s">
        <v>185</v>
      </c>
      <c r="AP22" s="1" t="s">
        <v>184</v>
      </c>
      <c r="AQ22" s="1" t="s">
        <v>185</v>
      </c>
      <c r="AR22" s="1" t="s">
        <v>184</v>
      </c>
      <c r="AS22" s="1" t="s">
        <v>185</v>
      </c>
      <c r="AT22" s="1" t="s">
        <v>184</v>
      </c>
      <c r="AU22" s="1" t="s">
        <v>185</v>
      </c>
      <c r="AV22" s="1" t="s">
        <v>184</v>
      </c>
      <c r="AW22" s="1" t="s">
        <v>185</v>
      </c>
      <c r="AX22" s="1" t="s">
        <v>184</v>
      </c>
      <c r="AY22" s="1" t="s">
        <v>185</v>
      </c>
      <c r="AZ22" s="1" t="s">
        <v>184</v>
      </c>
      <c r="BA22" s="1" t="s">
        <v>185</v>
      </c>
      <c r="BB22" s="1" t="s">
        <v>184</v>
      </c>
      <c r="BC22" s="1" t="s">
        <v>185</v>
      </c>
      <c r="BD22" s="1" t="s">
        <v>184</v>
      </c>
      <c r="BE22" s="1" t="s">
        <v>185</v>
      </c>
      <c r="BF22" s="1" t="s">
        <v>184</v>
      </c>
      <c r="BG22" s="1" t="s">
        <v>185</v>
      </c>
      <c r="BH22" s="1" t="s">
        <v>184</v>
      </c>
      <c r="BI22" s="1" t="s">
        <v>185</v>
      </c>
      <c r="BJ22" s="1" t="s">
        <v>184</v>
      </c>
      <c r="BK22" s="1" t="s">
        <v>185</v>
      </c>
      <c r="BL22" s="1" t="s">
        <v>184</v>
      </c>
      <c r="BM22" s="1" t="s">
        <v>185</v>
      </c>
      <c r="BN22" s="1" t="s">
        <v>184</v>
      </c>
      <c r="BO22" s="1" t="s">
        <v>185</v>
      </c>
      <c r="BP22" s="1" t="s">
        <v>184</v>
      </c>
      <c r="BQ22" s="1" t="s">
        <v>185</v>
      </c>
      <c r="BR22" s="1" t="s">
        <v>184</v>
      </c>
      <c r="BS22" s="1" t="s">
        <v>185</v>
      </c>
      <c r="BT22" s="1" t="s">
        <v>184</v>
      </c>
      <c r="BU22" s="1" t="s">
        <v>185</v>
      </c>
      <c r="BV22" s="1" t="s">
        <v>184</v>
      </c>
      <c r="BW22" s="1" t="s">
        <v>185</v>
      </c>
      <c r="BX22" s="1" t="s">
        <v>184</v>
      </c>
      <c r="BY22" s="1" t="s">
        <v>185</v>
      </c>
    </row>
    <row r="23" spans="2:77" ht="12.75">
      <c r="B23" s="1">
        <v>30</v>
      </c>
      <c r="C23" s="1">
        <v>0.058</v>
      </c>
      <c r="D23" s="1">
        <v>30</v>
      </c>
      <c r="E23" s="1">
        <v>0.087</v>
      </c>
      <c r="F23" s="1">
        <v>30</v>
      </c>
      <c r="G23" s="1">
        <v>0.13</v>
      </c>
      <c r="H23" s="1">
        <v>30</v>
      </c>
      <c r="I23" s="1">
        <v>0.17</v>
      </c>
      <c r="J23" s="1">
        <v>30</v>
      </c>
      <c r="K23" s="1">
        <v>0.26</v>
      </c>
      <c r="L23" s="1">
        <v>30</v>
      </c>
      <c r="M23" s="1">
        <v>0.35</v>
      </c>
      <c r="N23" s="1">
        <v>30</v>
      </c>
      <c r="O23" s="1">
        <v>0.43</v>
      </c>
      <c r="P23" s="1">
        <v>30</v>
      </c>
      <c r="Q23" s="1">
        <v>0.52</v>
      </c>
      <c r="R23" s="1">
        <v>30</v>
      </c>
      <c r="S23" s="1">
        <v>0.69</v>
      </c>
      <c r="T23" s="1">
        <v>30</v>
      </c>
      <c r="U23" s="1">
        <v>0.87</v>
      </c>
      <c r="V23" s="1">
        <v>30</v>
      </c>
      <c r="W23" s="1">
        <v>0.058</v>
      </c>
      <c r="X23" s="1">
        <v>30</v>
      </c>
      <c r="Y23" s="1">
        <v>0.094</v>
      </c>
      <c r="Z23" s="1">
        <v>35</v>
      </c>
      <c r="AA23" s="1">
        <v>0.14</v>
      </c>
      <c r="AB23" s="1">
        <v>30</v>
      </c>
      <c r="AC23" s="1">
        <v>0.17</v>
      </c>
      <c r="AD23" s="1">
        <v>30</v>
      </c>
      <c r="AE23" s="1">
        <v>0.26</v>
      </c>
      <c r="AF23" s="1">
        <v>30</v>
      </c>
      <c r="AG23" s="1">
        <v>0.35</v>
      </c>
      <c r="AH23" s="1">
        <v>30</v>
      </c>
      <c r="AI23" s="1">
        <v>0.43</v>
      </c>
      <c r="AJ23" s="1">
        <v>30</v>
      </c>
      <c r="AK23" s="1">
        <v>0.52</v>
      </c>
      <c r="AL23" s="1">
        <v>30</v>
      </c>
      <c r="AM23" s="1">
        <v>0.69</v>
      </c>
      <c r="AN23" s="1">
        <v>30</v>
      </c>
      <c r="AO23" s="1">
        <v>0.87</v>
      </c>
      <c r="AP23" s="1">
        <v>20</v>
      </c>
      <c r="AQ23" s="1">
        <v>0.071</v>
      </c>
      <c r="AR23" s="1">
        <v>20</v>
      </c>
      <c r="AS23" s="1">
        <v>0.11</v>
      </c>
      <c r="AT23" s="1">
        <v>20</v>
      </c>
      <c r="AU23" s="1">
        <v>0.14</v>
      </c>
      <c r="AV23" s="1">
        <v>20</v>
      </c>
      <c r="AW23" s="1">
        <v>0.21</v>
      </c>
      <c r="AX23" s="1">
        <v>20</v>
      </c>
      <c r="AY23" s="1">
        <v>0.28</v>
      </c>
      <c r="AZ23" s="1">
        <v>20</v>
      </c>
      <c r="BA23" s="1">
        <v>0.35</v>
      </c>
      <c r="BB23" s="1">
        <v>20</v>
      </c>
      <c r="BC23" s="1">
        <v>0.42</v>
      </c>
      <c r="BD23" s="1">
        <v>20</v>
      </c>
      <c r="BE23" s="1">
        <v>0.57</v>
      </c>
      <c r="BF23" s="1">
        <v>20</v>
      </c>
      <c r="BG23" s="1">
        <v>0.71</v>
      </c>
      <c r="BH23" s="1">
        <v>20</v>
      </c>
      <c r="BI23" s="1">
        <v>0.071</v>
      </c>
      <c r="BJ23" s="1">
        <v>20</v>
      </c>
      <c r="BK23" s="1">
        <v>0.11</v>
      </c>
      <c r="BL23" s="1">
        <v>20</v>
      </c>
      <c r="BM23" s="1">
        <v>0.14</v>
      </c>
      <c r="BN23" s="1">
        <v>20</v>
      </c>
      <c r="BO23" s="1">
        <v>0.21</v>
      </c>
      <c r="BP23" s="1">
        <v>20</v>
      </c>
      <c r="BQ23" s="1">
        <v>0.28</v>
      </c>
      <c r="BR23" s="1">
        <v>20</v>
      </c>
      <c r="BS23" s="1">
        <v>0.35</v>
      </c>
      <c r="BT23" s="1">
        <v>20</v>
      </c>
      <c r="BU23" s="1">
        <v>0.42</v>
      </c>
      <c r="BV23" s="1">
        <v>20</v>
      </c>
      <c r="BW23" s="1">
        <v>0.57</v>
      </c>
      <c r="BX23" s="1">
        <v>20</v>
      </c>
      <c r="BY23" s="1">
        <v>0.71</v>
      </c>
    </row>
    <row r="24" spans="2:77" ht="12.75">
      <c r="B24" s="1">
        <v>35</v>
      </c>
      <c r="C24" s="1">
        <v>0.063</v>
      </c>
      <c r="D24" s="1">
        <v>35</v>
      </c>
      <c r="E24" s="1">
        <v>0.094</v>
      </c>
      <c r="F24" s="1">
        <v>35</v>
      </c>
      <c r="G24" s="1">
        <v>0.14</v>
      </c>
      <c r="H24" s="1">
        <v>35</v>
      </c>
      <c r="I24" s="1">
        <v>0.19</v>
      </c>
      <c r="J24" s="1">
        <v>35</v>
      </c>
      <c r="K24" s="1">
        <v>0.28</v>
      </c>
      <c r="L24" s="1">
        <v>35</v>
      </c>
      <c r="M24" s="1">
        <v>0.37</v>
      </c>
      <c r="N24" s="1">
        <v>35</v>
      </c>
      <c r="O24" s="1">
        <v>0.47</v>
      </c>
      <c r="P24" s="1">
        <v>35</v>
      </c>
      <c r="Q24" s="1">
        <v>0.56</v>
      </c>
      <c r="R24" s="1">
        <v>35</v>
      </c>
      <c r="S24" s="1">
        <v>0.75</v>
      </c>
      <c r="T24" s="1">
        <v>35</v>
      </c>
      <c r="U24" s="1">
        <v>0.94</v>
      </c>
      <c r="V24" s="1">
        <v>35</v>
      </c>
      <c r="W24" s="1">
        <v>0.063</v>
      </c>
      <c r="X24" s="1">
        <v>35</v>
      </c>
      <c r="Y24" s="1">
        <v>0.1</v>
      </c>
      <c r="Z24" s="1">
        <v>40</v>
      </c>
      <c r="AA24" s="1">
        <v>0.15</v>
      </c>
      <c r="AB24" s="1">
        <v>35</v>
      </c>
      <c r="AC24" s="1">
        <v>0.19</v>
      </c>
      <c r="AD24" s="1">
        <v>35</v>
      </c>
      <c r="AE24" s="1">
        <v>0.28</v>
      </c>
      <c r="AF24" s="1">
        <v>35</v>
      </c>
      <c r="AG24" s="1">
        <v>0.37</v>
      </c>
      <c r="AH24" s="1">
        <v>35</v>
      </c>
      <c r="AI24" s="1">
        <v>0.47</v>
      </c>
      <c r="AJ24" s="1">
        <v>35</v>
      </c>
      <c r="AK24" s="1">
        <v>0.56</v>
      </c>
      <c r="AL24" s="1">
        <v>35</v>
      </c>
      <c r="AM24" s="1">
        <v>0.75</v>
      </c>
      <c r="AN24" s="1">
        <v>35</v>
      </c>
      <c r="AO24" s="1">
        <v>0.94</v>
      </c>
      <c r="AP24" s="1">
        <v>30</v>
      </c>
      <c r="AQ24" s="1">
        <v>0.087</v>
      </c>
      <c r="AR24" s="1">
        <v>30</v>
      </c>
      <c r="AS24" s="1">
        <v>0.13</v>
      </c>
      <c r="AT24" s="1">
        <v>30</v>
      </c>
      <c r="AU24" s="1">
        <v>0.17</v>
      </c>
      <c r="AV24" s="1">
        <v>30</v>
      </c>
      <c r="AW24" s="1">
        <v>0.26</v>
      </c>
      <c r="AX24" s="1">
        <v>30</v>
      </c>
      <c r="AY24" s="1">
        <v>0.35</v>
      </c>
      <c r="AZ24" s="1">
        <v>30</v>
      </c>
      <c r="BA24" s="1">
        <v>0.43</v>
      </c>
      <c r="BB24" s="1">
        <v>30</v>
      </c>
      <c r="BC24" s="1">
        <v>0.52</v>
      </c>
      <c r="BD24" s="1">
        <v>30</v>
      </c>
      <c r="BE24" s="1">
        <v>0.69</v>
      </c>
      <c r="BF24" s="1">
        <v>30</v>
      </c>
      <c r="BG24" s="1">
        <v>0.87</v>
      </c>
      <c r="BH24" s="1">
        <v>30</v>
      </c>
      <c r="BI24" s="1">
        <v>0.087</v>
      </c>
      <c r="BJ24" s="1">
        <v>30</v>
      </c>
      <c r="BK24" s="1">
        <v>0.13</v>
      </c>
      <c r="BL24" s="1">
        <v>30</v>
      </c>
      <c r="BM24" s="1">
        <v>0.17</v>
      </c>
      <c r="BN24" s="1">
        <v>30</v>
      </c>
      <c r="BO24" s="1">
        <v>0.26</v>
      </c>
      <c r="BP24" s="1">
        <v>30</v>
      </c>
      <c r="BQ24" s="1">
        <v>0.35</v>
      </c>
      <c r="BR24" s="1">
        <v>30</v>
      </c>
      <c r="BS24" s="1">
        <v>0.43</v>
      </c>
      <c r="BT24" s="1">
        <v>30</v>
      </c>
      <c r="BU24" s="1">
        <v>0.52</v>
      </c>
      <c r="BV24" s="1">
        <v>30</v>
      </c>
      <c r="BW24" s="1">
        <v>0.69</v>
      </c>
      <c r="BX24" s="1">
        <v>30</v>
      </c>
      <c r="BY24" s="1">
        <v>0.87</v>
      </c>
    </row>
    <row r="25" spans="2:77" ht="12.75">
      <c r="B25" s="1">
        <v>40</v>
      </c>
      <c r="C25" s="1">
        <v>0.067</v>
      </c>
      <c r="D25" s="1">
        <v>40</v>
      </c>
      <c r="E25" s="1">
        <v>0.1</v>
      </c>
      <c r="F25" s="1">
        <v>40</v>
      </c>
      <c r="G25" s="1">
        <v>0.15</v>
      </c>
      <c r="H25" s="1">
        <v>40</v>
      </c>
      <c r="I25" s="1">
        <v>0.2</v>
      </c>
      <c r="J25" s="1">
        <v>40</v>
      </c>
      <c r="K25" s="1">
        <v>0.3</v>
      </c>
      <c r="L25" s="1">
        <v>40</v>
      </c>
      <c r="M25" s="1">
        <v>0.4</v>
      </c>
      <c r="N25" s="1">
        <v>40</v>
      </c>
      <c r="O25" s="1">
        <v>0.5</v>
      </c>
      <c r="P25" s="1">
        <v>40</v>
      </c>
      <c r="Q25" s="1">
        <v>0.6</v>
      </c>
      <c r="R25" s="1">
        <v>40</v>
      </c>
      <c r="S25" s="1">
        <v>0.8</v>
      </c>
      <c r="T25" s="1">
        <v>40</v>
      </c>
      <c r="U25" s="1">
        <v>1</v>
      </c>
      <c r="V25" s="1">
        <v>40</v>
      </c>
      <c r="W25" s="1">
        <v>0.067</v>
      </c>
      <c r="X25" s="1">
        <v>40</v>
      </c>
      <c r="Y25" s="1">
        <v>0.11</v>
      </c>
      <c r="Z25" s="1">
        <v>50</v>
      </c>
      <c r="AA25" s="1">
        <v>0.17</v>
      </c>
      <c r="AB25" s="1">
        <v>40</v>
      </c>
      <c r="AC25" s="1">
        <v>0.2</v>
      </c>
      <c r="AD25" s="1">
        <v>40</v>
      </c>
      <c r="AE25" s="1">
        <v>0.3</v>
      </c>
      <c r="AF25" s="1">
        <v>40</v>
      </c>
      <c r="AG25" s="1">
        <v>0.4</v>
      </c>
      <c r="AH25" s="1">
        <v>40</v>
      </c>
      <c r="AI25" s="1">
        <v>0.5</v>
      </c>
      <c r="AJ25" s="1">
        <v>40</v>
      </c>
      <c r="AK25" s="1">
        <v>0.6</v>
      </c>
      <c r="AL25" s="1">
        <v>40</v>
      </c>
      <c r="AM25" s="1">
        <v>0.8</v>
      </c>
      <c r="AN25" s="1">
        <v>40</v>
      </c>
      <c r="AO25" s="1">
        <v>1</v>
      </c>
      <c r="AP25" s="1">
        <v>40</v>
      </c>
      <c r="AQ25" s="1">
        <v>0.1</v>
      </c>
      <c r="AR25" s="1">
        <v>40</v>
      </c>
      <c r="AS25" s="1">
        <v>0.15</v>
      </c>
      <c r="AT25" s="1">
        <v>40</v>
      </c>
      <c r="AU25" s="1">
        <v>0.2</v>
      </c>
      <c r="AV25" s="1">
        <v>40</v>
      </c>
      <c r="AW25" s="1">
        <v>0.3</v>
      </c>
      <c r="AX25" s="1">
        <v>40</v>
      </c>
      <c r="AY25" s="1">
        <v>0.4</v>
      </c>
      <c r="AZ25" s="1">
        <v>40</v>
      </c>
      <c r="BA25" s="1">
        <v>0.5</v>
      </c>
      <c r="BB25" s="1">
        <v>40</v>
      </c>
      <c r="BC25" s="1">
        <v>0.6</v>
      </c>
      <c r="BD25" s="1">
        <v>40</v>
      </c>
      <c r="BE25" s="1">
        <v>0.8</v>
      </c>
      <c r="BF25" s="1">
        <v>40</v>
      </c>
      <c r="BG25" s="1">
        <v>1</v>
      </c>
      <c r="BH25" s="1">
        <v>40</v>
      </c>
      <c r="BI25" s="1">
        <v>0.1</v>
      </c>
      <c r="BJ25" s="1">
        <v>40</v>
      </c>
      <c r="BK25" s="1">
        <v>0.15</v>
      </c>
      <c r="BL25" s="1">
        <v>40</v>
      </c>
      <c r="BM25" s="1">
        <v>0.2</v>
      </c>
      <c r="BN25" s="1">
        <v>40</v>
      </c>
      <c r="BO25" s="1">
        <v>0.3</v>
      </c>
      <c r="BP25" s="1">
        <v>40</v>
      </c>
      <c r="BQ25" s="1">
        <v>0.4</v>
      </c>
      <c r="BR25" s="1">
        <v>40</v>
      </c>
      <c r="BS25" s="1">
        <v>0.5</v>
      </c>
      <c r="BT25" s="1">
        <v>40</v>
      </c>
      <c r="BU25" s="1">
        <v>0.6</v>
      </c>
      <c r="BV25" s="1">
        <v>40</v>
      </c>
      <c r="BW25" s="1">
        <v>0.8</v>
      </c>
      <c r="BX25" s="1">
        <v>40</v>
      </c>
      <c r="BY25" s="1">
        <v>1</v>
      </c>
    </row>
    <row r="26" spans="2:77" ht="12.75">
      <c r="B26" s="1">
        <v>50</v>
      </c>
      <c r="C26" s="1">
        <v>0.075</v>
      </c>
      <c r="D26" s="1">
        <v>50</v>
      </c>
      <c r="E26" s="1">
        <v>0.11</v>
      </c>
      <c r="F26" s="1">
        <v>50</v>
      </c>
      <c r="G26" s="1">
        <v>0.17</v>
      </c>
      <c r="H26" s="1">
        <v>50</v>
      </c>
      <c r="I26" s="1">
        <v>0.22</v>
      </c>
      <c r="J26" s="1">
        <v>50</v>
      </c>
      <c r="K26" s="1">
        <v>0.34</v>
      </c>
      <c r="L26" s="1">
        <v>50</v>
      </c>
      <c r="M26" s="1">
        <v>0.45</v>
      </c>
      <c r="N26" s="1">
        <v>50</v>
      </c>
      <c r="O26" s="1">
        <v>0.56</v>
      </c>
      <c r="P26" s="1">
        <v>50</v>
      </c>
      <c r="Q26" s="1">
        <v>0.67</v>
      </c>
      <c r="R26" s="1">
        <v>50</v>
      </c>
      <c r="S26" s="1">
        <v>0.89</v>
      </c>
      <c r="T26" s="1">
        <v>50</v>
      </c>
      <c r="U26" s="1">
        <v>1.12</v>
      </c>
      <c r="V26" s="1">
        <v>50</v>
      </c>
      <c r="W26" s="1">
        <v>0.075</v>
      </c>
      <c r="X26" s="1">
        <v>50</v>
      </c>
      <c r="Y26" s="1">
        <v>0.12</v>
      </c>
      <c r="Z26" s="1">
        <v>60</v>
      </c>
      <c r="AA26" s="1">
        <v>0.18</v>
      </c>
      <c r="AB26" s="1">
        <v>50</v>
      </c>
      <c r="AC26" s="1">
        <v>0.22</v>
      </c>
      <c r="AD26" s="1">
        <v>50</v>
      </c>
      <c r="AE26" s="1">
        <v>0.34</v>
      </c>
      <c r="AF26" s="1">
        <v>50</v>
      </c>
      <c r="AG26" s="1">
        <v>0.45</v>
      </c>
      <c r="AH26" s="1">
        <v>50</v>
      </c>
      <c r="AI26" s="1">
        <v>0.56</v>
      </c>
      <c r="AJ26" s="1">
        <v>50</v>
      </c>
      <c r="AK26" s="1">
        <v>0.67</v>
      </c>
      <c r="AL26" s="1">
        <v>50</v>
      </c>
      <c r="AM26" s="1">
        <v>0.89</v>
      </c>
      <c r="AN26" s="1">
        <v>50</v>
      </c>
      <c r="AO26" s="1">
        <v>1.12</v>
      </c>
      <c r="AP26" s="1">
        <v>50</v>
      </c>
      <c r="AQ26" s="1">
        <v>0.11</v>
      </c>
      <c r="AR26" s="1">
        <v>50</v>
      </c>
      <c r="AS26" s="1">
        <v>0.17</v>
      </c>
      <c r="AT26" s="1">
        <v>50</v>
      </c>
      <c r="AU26" s="1">
        <v>0.22</v>
      </c>
      <c r="AV26" s="1">
        <v>50</v>
      </c>
      <c r="AW26" s="1">
        <v>0.34</v>
      </c>
      <c r="AX26" s="1">
        <v>50</v>
      </c>
      <c r="AY26" s="1">
        <v>0.45</v>
      </c>
      <c r="AZ26" s="1">
        <v>50</v>
      </c>
      <c r="BA26" s="1">
        <v>0.56</v>
      </c>
      <c r="BB26" s="1">
        <v>50</v>
      </c>
      <c r="BC26" s="1">
        <v>0.67</v>
      </c>
      <c r="BD26" s="1">
        <v>50</v>
      </c>
      <c r="BE26" s="1">
        <v>0.89</v>
      </c>
      <c r="BF26" s="1">
        <v>50</v>
      </c>
      <c r="BG26" s="1">
        <v>1.12</v>
      </c>
      <c r="BH26" s="1">
        <v>50</v>
      </c>
      <c r="BI26" s="1">
        <v>0.11</v>
      </c>
      <c r="BJ26" s="1">
        <v>50</v>
      </c>
      <c r="BK26" s="1">
        <v>0.17</v>
      </c>
      <c r="BL26" s="1">
        <v>50</v>
      </c>
      <c r="BM26" s="1">
        <v>0.22</v>
      </c>
      <c r="BN26" s="1">
        <v>50</v>
      </c>
      <c r="BO26" s="1">
        <v>0.34</v>
      </c>
      <c r="BP26" s="1">
        <v>50</v>
      </c>
      <c r="BQ26" s="1">
        <v>0.45</v>
      </c>
      <c r="BR26" s="1">
        <v>50</v>
      </c>
      <c r="BS26" s="1">
        <v>0.56</v>
      </c>
      <c r="BT26" s="1">
        <v>50</v>
      </c>
      <c r="BU26" s="1">
        <v>0.67</v>
      </c>
      <c r="BV26" s="1">
        <v>50</v>
      </c>
      <c r="BW26" s="1">
        <v>0.89</v>
      </c>
      <c r="BX26" s="1">
        <v>50</v>
      </c>
      <c r="BY26" s="1">
        <v>1.12</v>
      </c>
    </row>
    <row r="27" spans="2:77" ht="12.75">
      <c r="B27" s="1">
        <v>60</v>
      </c>
      <c r="C27" s="1">
        <v>0.082</v>
      </c>
      <c r="D27" s="1">
        <v>60</v>
      </c>
      <c r="E27" s="1">
        <v>0.12</v>
      </c>
      <c r="F27" s="1">
        <v>60</v>
      </c>
      <c r="G27" s="1">
        <v>0.18</v>
      </c>
      <c r="H27" s="1">
        <v>60</v>
      </c>
      <c r="I27" s="1">
        <v>0.24</v>
      </c>
      <c r="J27" s="1">
        <v>60</v>
      </c>
      <c r="K27" s="1">
        <v>0.37</v>
      </c>
      <c r="L27" s="1">
        <v>60</v>
      </c>
      <c r="M27" s="1">
        <v>0.49</v>
      </c>
      <c r="N27" s="1">
        <v>60</v>
      </c>
      <c r="O27" s="1">
        <v>0.61</v>
      </c>
      <c r="P27" s="1">
        <v>60</v>
      </c>
      <c r="Q27" s="1">
        <v>0.73</v>
      </c>
      <c r="R27" s="1">
        <v>60</v>
      </c>
      <c r="S27" s="1">
        <v>0.98</v>
      </c>
      <c r="T27" s="1">
        <v>60</v>
      </c>
      <c r="U27" s="1">
        <v>1.22</v>
      </c>
      <c r="V27" s="1">
        <v>60</v>
      </c>
      <c r="W27" s="1">
        <v>0.082</v>
      </c>
      <c r="X27" s="1">
        <v>60</v>
      </c>
      <c r="AB27" s="1">
        <v>60</v>
      </c>
      <c r="AC27" s="1">
        <v>0.24</v>
      </c>
      <c r="AD27" s="1">
        <v>60</v>
      </c>
      <c r="AE27" s="1">
        <v>0.37</v>
      </c>
      <c r="AF27" s="1">
        <v>60</v>
      </c>
      <c r="AG27" s="1">
        <v>0.49</v>
      </c>
      <c r="AH27" s="1">
        <v>60</v>
      </c>
      <c r="AI27" s="1">
        <v>0.61</v>
      </c>
      <c r="AJ27" s="1">
        <v>60</v>
      </c>
      <c r="AK27" s="1">
        <v>0.73</v>
      </c>
      <c r="AL27" s="1">
        <v>60</v>
      </c>
      <c r="AM27" s="1">
        <v>0.98</v>
      </c>
      <c r="AN27" s="1">
        <v>60</v>
      </c>
      <c r="AO27" s="1">
        <v>1.22</v>
      </c>
      <c r="AP27" s="1">
        <v>60</v>
      </c>
      <c r="AQ27" s="1">
        <v>0.12</v>
      </c>
      <c r="AR27" s="1">
        <v>60</v>
      </c>
      <c r="AS27" s="1">
        <v>0.18</v>
      </c>
      <c r="AT27" s="1">
        <v>60</v>
      </c>
      <c r="AU27" s="1">
        <v>0.24</v>
      </c>
      <c r="AV27" s="1">
        <v>60</v>
      </c>
      <c r="AW27" s="1">
        <v>0.37</v>
      </c>
      <c r="AX27" s="1">
        <v>60</v>
      </c>
      <c r="AY27" s="1">
        <v>0.49</v>
      </c>
      <c r="AZ27" s="1">
        <v>60</v>
      </c>
      <c r="BA27" s="1">
        <v>0.61</v>
      </c>
      <c r="BB27" s="1">
        <v>60</v>
      </c>
      <c r="BC27" s="1">
        <v>0.73</v>
      </c>
      <c r="BD27" s="1">
        <v>60</v>
      </c>
      <c r="BE27" s="1">
        <v>0.98</v>
      </c>
      <c r="BF27" s="1">
        <v>60</v>
      </c>
      <c r="BG27" s="1">
        <v>1.22</v>
      </c>
      <c r="BH27" s="1">
        <v>60</v>
      </c>
      <c r="BI27" s="1">
        <v>0.12</v>
      </c>
      <c r="BJ27" s="1">
        <v>60</v>
      </c>
      <c r="BK27" s="1">
        <v>0.18</v>
      </c>
      <c r="BL27" s="1">
        <v>60</v>
      </c>
      <c r="BM27" s="1">
        <v>0.24</v>
      </c>
      <c r="BN27" s="1">
        <v>60</v>
      </c>
      <c r="BO27" s="1">
        <v>0.37</v>
      </c>
      <c r="BP27" s="1">
        <v>60</v>
      </c>
      <c r="BQ27" s="1">
        <v>0.49</v>
      </c>
      <c r="BR27" s="1">
        <v>60</v>
      </c>
      <c r="BS27" s="1">
        <v>0.61</v>
      </c>
      <c r="BT27" s="1">
        <v>60</v>
      </c>
      <c r="BU27" s="1">
        <v>0.73</v>
      </c>
      <c r="BV27" s="1">
        <v>60</v>
      </c>
      <c r="BW27" s="1">
        <v>0.98</v>
      </c>
      <c r="BX27" s="1">
        <v>60</v>
      </c>
      <c r="BY27" s="1">
        <v>1.22</v>
      </c>
    </row>
    <row r="28" ht="12.75">
      <c r="Z28">
        <f>INDEX(LINEST(AA22:AA26,(LN(Z22:Z26))),1)</f>
        <v>0.07474654106483668</v>
      </c>
    </row>
    <row r="29" spans="1:76" ht="12.75">
      <c r="A29" t="s">
        <v>119</v>
      </c>
      <c r="B29">
        <f>INDEX(LINEST(C23:C27,(LN(B23:B27))),1)</f>
        <v>0.034540005507355476</v>
      </c>
      <c r="D29">
        <f>INDEX(LINEST(E23:E27,(LN(D23:D27))),1)</f>
        <v>0.0471138957723576</v>
      </c>
      <c r="F29">
        <f>INDEX(LINEST(G23:G27,(LN(F23:F27))),1)</f>
        <v>0.07474654106483668</v>
      </c>
      <c r="H29">
        <f>INDEX(LINEST(I23:I27,(LN(H23:H27))),1)</f>
        <v>0.09738479326906888</v>
      </c>
      <c r="J29">
        <f>INDEX(LINEST(K23:K27,(LN(J23:J27))),1)</f>
        <v>0.1613809014346613</v>
      </c>
      <c r="L29">
        <f>INDEX(LINEST(M23:M27,(LN(L23:L27))),1)</f>
        <v>0.20755601020793363</v>
      </c>
      <c r="N29">
        <f>INDEX(LINEST(O23:O27,(LN(N23:N27))),1)</f>
        <v>0.25876569470373034</v>
      </c>
      <c r="P29">
        <f>INDEX(LINEST(Q23:Q27,(LN(P23:P27))),1)</f>
        <v>0.3049408034770025</v>
      </c>
      <c r="R29">
        <f>INDEX(LINEST(S23:S27,(LN(R23:R27))),1)</f>
        <v>0.4142134160510594</v>
      </c>
      <c r="T29">
        <f>INDEX(LINEST(U23:U27,(LN(T23:T27))),1)</f>
        <v>0.5067809565082162</v>
      </c>
      <c r="V29">
        <f>INDEX(LINEST(W23:W27,(LN(V23:V27))),1)</f>
        <v>0.034540005507355476</v>
      </c>
      <c r="X29">
        <f>INDEX(LINEST(Y22:Y26,(LN(X23:X27))),1)</f>
        <v>0.0471138957723576</v>
      </c>
      <c r="Z29">
        <f>INDEX(LINEST(AA22:AA26,(LN(Z22:Z26))),2)</f>
        <v>-0.12483139428232728</v>
      </c>
      <c r="AB29">
        <f>INDEX(LINEST(AC23:AC27,(LN(AB23:AB27))),1)</f>
        <v>0.09738479326906888</v>
      </c>
      <c r="AD29">
        <f>INDEX(LINEST(AE23:AE27,(LN(AD23:AD27))),1)</f>
        <v>0.1613809014346613</v>
      </c>
      <c r="AF29">
        <f>INDEX(LINEST(AG23:AG27,(LN(AF23:AF27))),1)</f>
        <v>0.20755601020793363</v>
      </c>
      <c r="AH29">
        <f>INDEX(LINEST(AI23:AI27,(LN(AH23:AH27))),1)</f>
        <v>0.25876569470373034</v>
      </c>
      <c r="AJ29">
        <f>INDEX(LINEST(AK23:AK27,(LN(AJ23:AJ27))),1)</f>
        <v>0.3049408034770025</v>
      </c>
      <c r="AL29">
        <f>INDEX(LINEST(AM23:AM27,(LN(AL23:AL27))),1)</f>
        <v>0.4142134160510594</v>
      </c>
      <c r="AN29">
        <f>INDEX(LINEST(AO23:AO27,(LN(AN23:AN27))),1)</f>
        <v>0.5067809565082162</v>
      </c>
      <c r="AP29">
        <f>INDEX(LINEST(AQ23:AQ27,(LN(AP23:AP27))),1)</f>
        <v>0.0442953376250404</v>
      </c>
      <c r="AR29">
        <f>INDEX(LINEST(AS23:AS27,(LN(AR23:AR27))),1)</f>
        <v>0.06564190930981932</v>
      </c>
      <c r="AT29">
        <f>INDEX(LINEST(AU23:AU27,(LN(AT23:AT27))),1)</f>
        <v>0.09140009065787108</v>
      </c>
      <c r="AV29">
        <f>INDEX(LINEST(AW23:AW27,(LN(AV23:AV27))),1)</f>
        <v>0.14588143350118854</v>
      </c>
      <c r="AX29">
        <f>INDEX(LINEST(AY23:AY27,(LN(AX23:AX27))),1)</f>
        <v>0.1901382235438993</v>
      </c>
      <c r="AZ29">
        <f>INDEX(LINEST(BA23:BA27,(LN(AZ23:AZ27))),1)</f>
        <v>0.23728152415905968</v>
      </c>
      <c r="BB29">
        <f>INDEX(LINEST(BC23:BC27,(LN(BB23:BB27))),1)</f>
        <v>0.2815383142017704</v>
      </c>
      <c r="BD29">
        <f>INDEX(LINEST(BE23:BE27,(LN(BD23:BD27))),1)</f>
        <v>0.37098790795308695</v>
      </c>
      <c r="BF29">
        <f>INDEX(LINEST(BG23:BG27,(LN(BF23:BF27))),1)</f>
        <v>0.4634024818516175</v>
      </c>
      <c r="BH29">
        <f>INDEX(LINEST(BI23:BI27,(LN(BH23:BH27))),1)</f>
        <v>0.0442953376250404</v>
      </c>
      <c r="BJ29">
        <f>INDEX(LINEST(BK23:BK27,(LN(BJ23:BJ27))),1)</f>
        <v>0.06564190930981932</v>
      </c>
      <c r="BL29">
        <f>INDEX(LINEST(BM23:BM27,(LN(BL23:BL27))),1)</f>
        <v>0.09140009065787108</v>
      </c>
      <c r="BN29">
        <f>INDEX(LINEST(BO23:BO27,(LN(BN23:BN27))),1)</f>
        <v>0.14588143350118854</v>
      </c>
      <c r="BP29">
        <f>INDEX(LINEST(BQ23:BQ27,(LN(BP23:BP27))),1)</f>
        <v>0.1901382235438993</v>
      </c>
      <c r="BR29">
        <f>INDEX(LINEST(BS23:BS27,(LN(BR23:BR27))),1)</f>
        <v>0.23728152415905968</v>
      </c>
      <c r="BT29">
        <f>INDEX(LINEST(BU23:BU27,(LN(BT23:BT27))),1)</f>
        <v>0.2815383142017704</v>
      </c>
      <c r="BV29">
        <f>INDEX(LINEST(BW23:BW27,(LN(BV23:BV27))),1)</f>
        <v>0.37098790795308695</v>
      </c>
      <c r="BX29">
        <f>INDEX(LINEST(BY23:BY27,(LN(BX23:BX27))),1)</f>
        <v>0.4634024818516175</v>
      </c>
    </row>
    <row r="30" spans="1:76" ht="12.75">
      <c r="A30" t="s">
        <v>120</v>
      </c>
      <c r="B30">
        <f>INDEX(LINEST(C23:C27,(LN(B23:B27))),2)</f>
        <v>-0.05984660289204827</v>
      </c>
      <c r="D30">
        <f>INDEX(LINEST(E23:E27,(LN(D23:D27))),2)</f>
        <v>-0.07355172123193711</v>
      </c>
      <c r="F30">
        <f>INDEX(LINEST(G23:G27,(LN(F23:F27))),2)</f>
        <v>-0.12483139428232728</v>
      </c>
      <c r="H30">
        <f>INDEX(LINEST(I23:I27,(LN(H23:H27))),2)</f>
        <v>-0.15928019065867938</v>
      </c>
      <c r="J30">
        <f>INDEX(LINEST(K23:K27,(LN(J23:J27))),2)</f>
        <v>-0.2920086162720653</v>
      </c>
      <c r="L30">
        <f>INDEX(LINEST(M23:M27,(LN(L23:L27))),2)</f>
        <v>-0.3622583254488626</v>
      </c>
      <c r="N30">
        <f>INDEX(LINEST(O23:O27,(LN(N23:N27))),2)</f>
        <v>-0.45128880693074547</v>
      </c>
      <c r="P30">
        <f>INDEX(LINEST(Q23:Q27,(LN(P23:P27))),2)</f>
        <v>-0.521538516107542</v>
      </c>
      <c r="R30">
        <f>INDEX(LINEST(S23:S27,(LN(R23:R27))),2)</f>
        <v>-0.7231645344736324</v>
      </c>
      <c r="T30">
        <f>INDEX(LINEST(U23:U27,(LN(T23:T27))),2)</f>
        <v>-0.8604746451925487</v>
      </c>
      <c r="V30">
        <f>INDEX(LINEST(W23:W27,(LN(V23:V27))),2)</f>
        <v>-0.05984660289204827</v>
      </c>
      <c r="X30">
        <f>INDEX(LINEST(Y22:Y26,(LN(X23:X27))),2)</f>
        <v>-0.07355172123193711</v>
      </c>
      <c r="Z30">
        <v>80</v>
      </c>
      <c r="AB30">
        <f>INDEX(LINEST(AC23:AC27,(LN(AB23:AB27))),2)</f>
        <v>-0.15928019065867938</v>
      </c>
      <c r="AD30">
        <f>INDEX(LINEST(AE23:AE27,(LN(AD23:AD27))),2)</f>
        <v>-0.2920086162720653</v>
      </c>
      <c r="AF30">
        <f>INDEX(LINEST(AG23:AG27,(LN(AF23:AF27))),2)</f>
        <v>-0.3622583254488626</v>
      </c>
      <c r="AH30">
        <f>INDEX(LINEST(AI23:AI27,(LN(AH23:AH27))),2)</f>
        <v>-0.45128880693074547</v>
      </c>
      <c r="AJ30">
        <f>INDEX(LINEST(AK23:AK27,(LN(AJ23:AJ27))),2)</f>
        <v>-0.521538516107542</v>
      </c>
      <c r="AL30">
        <f>INDEX(LINEST(AM23:AM27,(LN(AL23:AL27))),2)</f>
        <v>-0.7231645344736324</v>
      </c>
      <c r="AN30">
        <f>INDEX(LINEST(AO23:AO27,(LN(AN23:AN27))),2)</f>
        <v>-0.8604746451925487</v>
      </c>
      <c r="AP30">
        <f>INDEX(LINEST(AQ23:AQ27,(LN(AP23:AP27))),2)</f>
        <v>-0.06267981485574503</v>
      </c>
      <c r="AR30">
        <f>INDEX(LINEST(AS23:AS27,(LN(AR23:AR27))),2)</f>
        <v>-0.08952100412951422</v>
      </c>
      <c r="AT30">
        <f>INDEX(LINEST(AU23:AU27,(LN(AT23:AT27))),2)</f>
        <v>-0.13672531769484458</v>
      </c>
      <c r="AV30">
        <f>INDEX(LINEST(AW23:AW27,(LN(AV23:AV27))),2)</f>
        <v>-0.231862533758932</v>
      </c>
      <c r="AX30">
        <f>INDEX(LINEST(AY23:AY27,(LN(AX23:AX27))),2)</f>
        <v>-0.29400286668068143</v>
      </c>
      <c r="AZ30">
        <f>INDEX(LINEST(BA23:BA27,(LN(AZ23:AZ27))),2)</f>
        <v>-0.36858785145377676</v>
      </c>
      <c r="BB30">
        <f>INDEX(LINEST(BC23:BC27,(LN(BB23:BB27))),2)</f>
        <v>-0.43072818437552607</v>
      </c>
      <c r="BD30">
        <f>INDEX(LINEST(BE23:BE27,(LN(BD23:BD27))),2)</f>
        <v>-0.5563957551421131</v>
      </c>
      <c r="BF30">
        <f>INDEX(LINEST(BG23:BG27,(LN(BF23:BF27))),2)</f>
        <v>-0.6927919148421269</v>
      </c>
      <c r="BH30">
        <f>INDEX(LINEST(BI23:BI27,(LN(BH23:BH27))),2)</f>
        <v>-0.06267981485574503</v>
      </c>
      <c r="BJ30">
        <f>INDEX(LINEST(BK23:BK27,(LN(BJ23:BJ27))),2)</f>
        <v>-0.08952100412951422</v>
      </c>
      <c r="BL30">
        <f>INDEX(LINEST(BM23:BM27,(LN(BL23:BL27))),2)</f>
        <v>-0.13672531769484458</v>
      </c>
      <c r="BN30">
        <f>INDEX(LINEST(BO23:BO27,(LN(BN23:BN27))),2)</f>
        <v>-0.231862533758932</v>
      </c>
      <c r="BP30">
        <f>INDEX(LINEST(BQ23:BQ27,(LN(BP23:BP27))),2)</f>
        <v>-0.29400286668068143</v>
      </c>
      <c r="BR30">
        <f>INDEX(LINEST(BS23:BS27,(LN(BR23:BR27))),2)</f>
        <v>-0.36858785145377676</v>
      </c>
      <c r="BT30">
        <f>INDEX(LINEST(BU23:BU27,(LN(BT23:BT27))),2)</f>
        <v>-0.43072818437552607</v>
      </c>
      <c r="BV30">
        <f>INDEX(LINEST(BW23:BW27,(LN(BV23:BV27))),2)</f>
        <v>-0.5563957551421131</v>
      </c>
      <c r="BX30">
        <f>INDEX(LINEST(BY23:BY27,(LN(BX23:BX27))),2)</f>
        <v>-0.6927919148421269</v>
      </c>
    </row>
    <row r="31" spans="2:76" ht="12.75">
      <c r="B31" s="1">
        <v>65</v>
      </c>
      <c r="D31">
        <v>65</v>
      </c>
      <c r="F31">
        <v>65</v>
      </c>
      <c r="H31">
        <v>65</v>
      </c>
      <c r="J31">
        <v>65</v>
      </c>
      <c r="L31">
        <v>65</v>
      </c>
      <c r="N31">
        <v>65</v>
      </c>
      <c r="P31">
        <v>65</v>
      </c>
      <c r="R31">
        <v>65</v>
      </c>
      <c r="T31">
        <v>65</v>
      </c>
      <c r="V31">
        <v>80</v>
      </c>
      <c r="X31">
        <v>80</v>
      </c>
      <c r="AB31">
        <v>80</v>
      </c>
      <c r="AD31">
        <v>80</v>
      </c>
      <c r="AF31">
        <v>80</v>
      </c>
      <c r="AH31">
        <v>80</v>
      </c>
      <c r="AJ31">
        <v>80</v>
      </c>
      <c r="AL31">
        <v>80</v>
      </c>
      <c r="AN31">
        <v>80</v>
      </c>
      <c r="AP31">
        <v>65</v>
      </c>
      <c r="AR31">
        <v>65</v>
      </c>
      <c r="AT31">
        <v>65</v>
      </c>
      <c r="AV31">
        <v>65</v>
      </c>
      <c r="AX31">
        <v>65</v>
      </c>
      <c r="AZ31">
        <v>65</v>
      </c>
      <c r="BB31">
        <v>65</v>
      </c>
      <c r="BD31">
        <v>65</v>
      </c>
      <c r="BF31">
        <v>65</v>
      </c>
      <c r="BH31">
        <v>80</v>
      </c>
      <c r="BJ31">
        <v>80</v>
      </c>
      <c r="BL31">
        <v>80</v>
      </c>
      <c r="BN31">
        <v>80</v>
      </c>
      <c r="BP31">
        <v>80</v>
      </c>
      <c r="BR31">
        <v>80</v>
      </c>
      <c r="BT31">
        <v>80</v>
      </c>
      <c r="BV31">
        <v>80</v>
      </c>
      <c r="BX31">
        <v>80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F24"/>
  <sheetViews>
    <sheetView workbookViewId="0" topLeftCell="A1">
      <selection activeCell="E19" sqref="E19"/>
    </sheetView>
  </sheetViews>
  <sheetFormatPr defaultColWidth="9.140625" defaultRowHeight="12.75"/>
  <cols>
    <col min="1" max="1" width="30.140625" style="0" bestFit="1" customWidth="1"/>
    <col min="5" max="5" width="13.8515625" style="0" customWidth="1"/>
    <col min="6" max="6" width="19.00390625" style="0" customWidth="1"/>
  </cols>
  <sheetData>
    <row r="1" spans="1:6" ht="12.75">
      <c r="A1" s="259" t="s">
        <v>97</v>
      </c>
      <c r="B1" s="259"/>
      <c r="C1" s="259"/>
      <c r="D1" s="259"/>
      <c r="E1" s="259"/>
      <c r="F1" s="259"/>
    </row>
    <row r="3" spans="1:3" ht="12.75">
      <c r="A3" t="s">
        <v>98</v>
      </c>
      <c r="B3" s="50">
        <f>VLOOKUP(NVTable_Data_Entry!D68,NVTable_Data_Entry!A73:B75,2)</f>
        <v>28</v>
      </c>
      <c r="C3" t="s">
        <v>99</v>
      </c>
    </row>
    <row r="4" spans="1:3" ht="12.75">
      <c r="A4" t="s">
        <v>100</v>
      </c>
      <c r="B4" s="50">
        <f>VLOOKUP(NVTable_Data_Entry!D68,NVTable_Data_Entry!D73:E73,2)</f>
        <v>10.67</v>
      </c>
      <c r="C4" t="s">
        <v>101</v>
      </c>
    </row>
    <row r="5" spans="1:3" ht="12.75">
      <c r="A5" t="s">
        <v>102</v>
      </c>
      <c r="B5" s="2">
        <v>120</v>
      </c>
      <c r="C5" t="s">
        <v>103</v>
      </c>
    </row>
    <row r="6" spans="1:3" ht="12.75">
      <c r="A6" t="s">
        <v>116</v>
      </c>
      <c r="B6" s="2">
        <f>tgt_spd</f>
        <v>6</v>
      </c>
      <c r="C6" t="s">
        <v>30</v>
      </c>
    </row>
    <row r="7" spans="1:3" ht="12.75">
      <c r="A7" t="s">
        <v>104</v>
      </c>
      <c r="B7" s="50">
        <f>tgt_max_N</f>
        <v>100.68621235058032</v>
      </c>
      <c r="C7" t="s">
        <v>3</v>
      </c>
    </row>
    <row r="9" spans="1:3" ht="12.75">
      <c r="A9" t="s">
        <v>105</v>
      </c>
      <c r="B9" s="2">
        <f>tgt_pres</f>
        <v>30</v>
      </c>
      <c r="C9" t="s">
        <v>29</v>
      </c>
    </row>
    <row r="10" spans="1:3" ht="12.75">
      <c r="A10" t="s">
        <v>106</v>
      </c>
      <c r="B10">
        <v>6</v>
      </c>
      <c r="C10" t="s">
        <v>29</v>
      </c>
    </row>
    <row r="11" spans="1:3" ht="12.75">
      <c r="A11" t="s">
        <v>107</v>
      </c>
      <c r="B11">
        <v>4</v>
      </c>
      <c r="C11" t="s">
        <v>29</v>
      </c>
    </row>
    <row r="13" ht="12.75">
      <c r="F13" t="s">
        <v>117</v>
      </c>
    </row>
    <row r="17" spans="1:3" ht="12.75">
      <c r="A17" t="s">
        <v>108</v>
      </c>
      <c r="B17" s="51">
        <f>$B$5*($B$6*5280/60)*$B$7/(($B$3/100)*$B$4*43559.9938)</f>
        <v>49.02018120059598</v>
      </c>
      <c r="C17" t="s">
        <v>109</v>
      </c>
    </row>
    <row r="18" spans="1:3" ht="12.75">
      <c r="A18" t="s">
        <v>110</v>
      </c>
      <c r="B18">
        <f>B9+B10+B11</f>
        <v>40</v>
      </c>
      <c r="C18" t="s">
        <v>29</v>
      </c>
    </row>
    <row r="21" spans="2:3" ht="15.75">
      <c r="B21" t="s">
        <v>111</v>
      </c>
      <c r="C21" t="s">
        <v>112</v>
      </c>
    </row>
    <row r="22" spans="1:4" ht="12.75">
      <c r="A22" t="s">
        <v>113</v>
      </c>
      <c r="B22" s="52">
        <f>($B$17/($B$5/2))/7</f>
        <v>0.11671471714427614</v>
      </c>
      <c r="C22" s="52">
        <f>B22*1.13</f>
        <v>0.13188763037303203</v>
      </c>
      <c r="D22" t="s">
        <v>109</v>
      </c>
    </row>
    <row r="23" spans="1:4" ht="12.75">
      <c r="A23" t="s">
        <v>114</v>
      </c>
      <c r="B23" s="52">
        <f>(($B$17/($B$5/2))/7)*2</f>
        <v>0.23342943428855228</v>
      </c>
      <c r="C23" s="52">
        <f>B23*1.13</f>
        <v>0.26377526074606406</v>
      </c>
      <c r="D23" t="s">
        <v>109</v>
      </c>
    </row>
    <row r="24" spans="1:4" ht="12.75">
      <c r="A24" t="s">
        <v>115</v>
      </c>
      <c r="B24" s="52">
        <f>(($B$17/($B$5/2))/7)*4</f>
        <v>0.46685886857710457</v>
      </c>
      <c r="C24" s="52">
        <f>B24*1.13</f>
        <v>0.5275505214921281</v>
      </c>
      <c r="D24" t="s">
        <v>109</v>
      </c>
    </row>
  </sheetData>
  <mergeCells count="1">
    <mergeCell ref="A1:F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S430"/>
  <sheetViews>
    <sheetView zoomScale="85" zoomScaleNormal="85" workbookViewId="0" topLeftCell="A1">
      <selection activeCell="D31" sqref="D31"/>
    </sheetView>
  </sheetViews>
  <sheetFormatPr defaultColWidth="9.140625" defaultRowHeight="12.75"/>
  <cols>
    <col min="2" max="2" width="20.140625" style="0" bestFit="1" customWidth="1"/>
    <col min="3" max="3" width="21.00390625" style="0" bestFit="1" customWidth="1"/>
    <col min="4" max="4" width="11.57421875" style="0" customWidth="1"/>
    <col min="5" max="5" width="25.7109375" style="0" bestFit="1" customWidth="1"/>
    <col min="6" max="6" width="11.00390625" style="0" customWidth="1"/>
    <col min="7" max="7" width="20.140625" style="0" bestFit="1" customWidth="1"/>
    <col min="8" max="8" width="11.7109375" style="1" customWidth="1"/>
    <col min="9" max="9" width="11.28125" style="1" customWidth="1"/>
    <col min="10" max="10" width="6.57421875" style="0" customWidth="1"/>
    <col min="11" max="11" width="11.421875" style="0" customWidth="1"/>
    <col min="12" max="12" width="13.7109375" style="0" customWidth="1"/>
    <col min="13" max="13" width="22.8515625" style="4" customWidth="1"/>
    <col min="14" max="14" width="9.140625" style="4" customWidth="1"/>
    <col min="15" max="15" width="14.28125" style="4" bestFit="1" customWidth="1"/>
  </cols>
  <sheetData>
    <row r="1" spans="1:15" ht="12.75">
      <c r="A1" s="220" t="s">
        <v>86</v>
      </c>
      <c r="B1" s="232"/>
      <c r="C1" s="232"/>
      <c r="D1" s="232"/>
      <c r="E1" s="232"/>
      <c r="F1" s="232"/>
      <c r="G1" s="232"/>
      <c r="H1" s="232"/>
      <c r="I1" s="232"/>
      <c r="J1" s="33"/>
      <c r="K1" s="33"/>
      <c r="L1" s="33"/>
      <c r="M1" s="5"/>
      <c r="N1" s="5"/>
      <c r="O1" s="5"/>
    </row>
    <row r="2" spans="1:15" ht="12.75">
      <c r="A2" s="233"/>
      <c r="B2" s="232"/>
      <c r="C2" s="232"/>
      <c r="D2" s="232"/>
      <c r="E2" s="232"/>
      <c r="F2" s="232"/>
      <c r="G2" s="232"/>
      <c r="H2" s="232"/>
      <c r="I2" s="232"/>
      <c r="J2" s="33"/>
      <c r="K2" s="33"/>
      <c r="L2" s="33"/>
      <c r="M2" s="5"/>
      <c r="N2" s="5"/>
      <c r="O2" s="5"/>
    </row>
    <row r="3" spans="1:15" ht="12.75">
      <c r="A3" s="232"/>
      <c r="B3" s="232"/>
      <c r="C3" s="232"/>
      <c r="D3" s="232"/>
      <c r="E3" s="232"/>
      <c r="F3" s="232"/>
      <c r="G3" s="232"/>
      <c r="H3" s="232"/>
      <c r="I3" s="232"/>
      <c r="J3" s="33"/>
      <c r="K3" s="33"/>
      <c r="L3" s="33"/>
      <c r="M3" s="5"/>
      <c r="N3" s="5"/>
      <c r="O3" s="5"/>
    </row>
    <row r="4" spans="1:15" ht="12.75">
      <c r="A4" s="232"/>
      <c r="B4" s="232"/>
      <c r="C4" s="232"/>
      <c r="D4" s="232"/>
      <c r="E4" s="232"/>
      <c r="F4" s="232"/>
      <c r="G4" s="232"/>
      <c r="H4" s="232"/>
      <c r="I4" s="232"/>
      <c r="J4" s="33"/>
      <c r="K4" s="33"/>
      <c r="L4" s="33"/>
      <c r="M4" s="5"/>
      <c r="N4" s="5"/>
      <c r="O4" s="5"/>
    </row>
    <row r="5" spans="1:15" ht="20.25">
      <c r="A5" s="34"/>
      <c r="B5" s="32"/>
      <c r="C5" s="32"/>
      <c r="D5" s="32"/>
      <c r="E5" s="32"/>
      <c r="F5" s="32"/>
      <c r="G5" s="32"/>
      <c r="H5" s="32"/>
      <c r="I5" s="32"/>
      <c r="J5" s="33"/>
      <c r="K5" s="33"/>
      <c r="L5" s="33"/>
      <c r="M5" s="5"/>
      <c r="N5" s="5"/>
      <c r="O5" s="5"/>
    </row>
    <row r="6" spans="1:15" ht="13.5" thickBot="1">
      <c r="A6" s="234" t="s">
        <v>15</v>
      </c>
      <c r="B6" s="235"/>
      <c r="C6" s="235"/>
      <c r="D6" s="235"/>
      <c r="E6" s="235"/>
      <c r="F6" s="235" t="s">
        <v>9</v>
      </c>
      <c r="G6" s="235"/>
      <c r="H6" s="235"/>
      <c r="I6" s="235"/>
      <c r="J6" s="35"/>
      <c r="K6" s="35"/>
      <c r="L6" s="35"/>
      <c r="M6" s="5"/>
      <c r="N6" s="5"/>
      <c r="O6" s="5"/>
    </row>
    <row r="7" spans="1:15" ht="12.75">
      <c r="A7" s="59"/>
      <c r="B7" s="67" t="s">
        <v>154</v>
      </c>
      <c r="C7" s="61"/>
      <c r="D7" s="59"/>
      <c r="E7" s="59"/>
      <c r="F7" s="58"/>
      <c r="G7" s="58"/>
      <c r="H7" s="58"/>
      <c r="I7" s="58"/>
      <c r="J7" s="59"/>
      <c r="K7" s="59"/>
      <c r="L7" s="59"/>
      <c r="M7" s="5"/>
      <c r="N7" s="5"/>
      <c r="O7" s="5"/>
    </row>
    <row r="8" spans="1:15" ht="12.75">
      <c r="A8" s="59"/>
      <c r="B8" s="56">
        <v>0.3</v>
      </c>
      <c r="C8" s="214"/>
      <c r="D8" s="214"/>
      <c r="E8" s="59"/>
      <c r="F8" s="62"/>
      <c r="G8" s="60"/>
      <c r="H8" s="60"/>
      <c r="I8" s="60"/>
      <c r="J8" s="59"/>
      <c r="K8" s="59"/>
      <c r="L8" s="59"/>
      <c r="M8" s="5"/>
      <c r="N8" s="5"/>
      <c r="O8" s="5"/>
    </row>
    <row r="9" spans="1:15" ht="12.75">
      <c r="A9" s="59"/>
      <c r="B9" s="61"/>
      <c r="C9" s="61"/>
      <c r="D9" s="59"/>
      <c r="E9" s="59"/>
      <c r="F9" s="59"/>
      <c r="G9" s="59"/>
      <c r="H9" s="59"/>
      <c r="I9" s="61"/>
      <c r="J9" s="59"/>
      <c r="K9" s="59"/>
      <c r="L9" s="59"/>
      <c r="M9" s="5"/>
      <c r="N9" s="5"/>
      <c r="O9" s="5"/>
    </row>
    <row r="10" spans="1:15" ht="12.75">
      <c r="A10" s="59"/>
      <c r="B10" s="63" t="s">
        <v>80</v>
      </c>
      <c r="C10" s="61"/>
      <c r="D10" s="67" t="s">
        <v>47</v>
      </c>
      <c r="E10" s="59"/>
      <c r="F10" s="63"/>
      <c r="G10" s="59"/>
      <c r="H10" s="59"/>
      <c r="I10" s="61"/>
      <c r="J10" s="59"/>
      <c r="K10" s="59"/>
      <c r="L10" s="59"/>
      <c r="M10" s="5"/>
      <c r="N10" s="5"/>
      <c r="O10" s="5"/>
    </row>
    <row r="11" spans="1:15" ht="12.75">
      <c r="A11" s="59"/>
      <c r="B11" s="59"/>
      <c r="C11" s="68"/>
      <c r="D11" s="59"/>
      <c r="E11" s="59"/>
      <c r="F11" s="59"/>
      <c r="G11" s="59"/>
      <c r="H11" s="59"/>
      <c r="I11" s="61"/>
      <c r="J11" s="59"/>
      <c r="K11" s="59"/>
      <c r="L11" s="59"/>
      <c r="M11" s="5"/>
      <c r="N11" s="5"/>
      <c r="O11" s="5"/>
    </row>
    <row r="12" spans="1:15" ht="12.75">
      <c r="A12" s="59"/>
      <c r="B12" s="68"/>
      <c r="C12" s="68"/>
      <c r="D12" s="59"/>
      <c r="E12" s="36"/>
      <c r="F12" s="59"/>
      <c r="G12" s="59"/>
      <c r="H12" s="59"/>
      <c r="I12" s="61"/>
      <c r="J12" s="59"/>
      <c r="K12" s="59"/>
      <c r="L12" s="59"/>
      <c r="M12" s="5"/>
      <c r="N12" s="5"/>
      <c r="O12" s="5"/>
    </row>
    <row r="13" spans="1:15" ht="12.75">
      <c r="A13" s="59"/>
      <c r="B13" s="59"/>
      <c r="C13" s="59"/>
      <c r="D13" s="59"/>
      <c r="E13" s="36"/>
      <c r="F13" s="59"/>
      <c r="G13" s="61"/>
      <c r="H13" s="59"/>
      <c r="I13" s="61"/>
      <c r="J13" s="59"/>
      <c r="K13" s="59"/>
      <c r="L13" s="59"/>
      <c r="M13" s="5"/>
      <c r="N13" s="5"/>
      <c r="O13" s="5"/>
    </row>
    <row r="14" spans="1:15" ht="12.75">
      <c r="A14" s="59"/>
      <c r="B14" s="59"/>
      <c r="C14" s="59"/>
      <c r="D14" s="59"/>
      <c r="E14" s="36"/>
      <c r="F14" s="59"/>
      <c r="G14" s="59"/>
      <c r="H14" s="61"/>
      <c r="I14" s="61"/>
      <c r="J14" s="59"/>
      <c r="K14" s="59"/>
      <c r="L14" s="59"/>
      <c r="M14" s="5"/>
      <c r="N14" s="5"/>
      <c r="O14" s="5"/>
    </row>
    <row r="15" spans="1:15" ht="12.75">
      <c r="A15" s="66"/>
      <c r="B15" s="61"/>
      <c r="C15" s="61"/>
      <c r="D15" s="59"/>
      <c r="E15" s="59"/>
      <c r="F15" s="59"/>
      <c r="G15" s="59"/>
      <c r="H15" s="59"/>
      <c r="I15" s="61"/>
      <c r="J15" s="59"/>
      <c r="K15" s="59"/>
      <c r="L15" s="59"/>
      <c r="M15" s="5"/>
      <c r="N15" s="5"/>
      <c r="O15" s="5"/>
    </row>
    <row r="16" spans="1:15" ht="13.5" thickBot="1">
      <c r="A16" s="66"/>
      <c r="B16" s="63" t="s">
        <v>147</v>
      </c>
      <c r="C16" s="63" t="s">
        <v>138</v>
      </c>
      <c r="D16" s="69"/>
      <c r="E16" s="64" t="s">
        <v>24</v>
      </c>
      <c r="F16" s="59"/>
      <c r="G16" s="63"/>
      <c r="H16" s="59"/>
      <c r="I16" s="59"/>
      <c r="J16" s="59"/>
      <c r="K16" s="59"/>
      <c r="L16" s="59"/>
      <c r="M16" s="5"/>
      <c r="N16" s="5"/>
      <c r="O16" s="5"/>
    </row>
    <row r="17" spans="1:15" ht="13.5" thickBot="1">
      <c r="A17" s="66"/>
      <c r="B17" s="40">
        <v>11</v>
      </c>
      <c r="C17" s="40">
        <v>36</v>
      </c>
      <c r="D17" s="59"/>
      <c r="E17" s="40" t="s">
        <v>263</v>
      </c>
      <c r="F17" s="42"/>
      <c r="G17" s="42"/>
      <c r="H17" s="43"/>
      <c r="I17" s="59"/>
      <c r="J17" s="59"/>
      <c r="K17" s="59"/>
      <c r="L17" s="59"/>
      <c r="M17" s="5"/>
      <c r="N17" s="5"/>
      <c r="O17" s="5"/>
    </row>
    <row r="18" spans="1:16" ht="13.5" thickBot="1">
      <c r="A18" s="66"/>
      <c r="B18" s="64" t="s">
        <v>160</v>
      </c>
      <c r="C18" s="64" t="s">
        <v>161</v>
      </c>
      <c r="D18" s="59"/>
      <c r="E18" s="59"/>
      <c r="F18" s="59"/>
      <c r="G18" s="63"/>
      <c r="H18" s="59"/>
      <c r="I18" s="59"/>
      <c r="J18" s="59"/>
      <c r="K18" s="59"/>
      <c r="L18" s="59"/>
      <c r="M18" s="5"/>
      <c r="N18" s="5"/>
      <c r="O18" s="5"/>
      <c r="P18" t="s">
        <v>166</v>
      </c>
    </row>
    <row r="19" spans="1:15" ht="13.5" thickBot="1">
      <c r="A19" s="66"/>
      <c r="B19" s="71">
        <f>PSTable_Weeds!E12</f>
        <v>7.20310289624702</v>
      </c>
      <c r="C19" s="72">
        <f>PSTable_Weeds!E13</f>
        <v>23.57379129680843</v>
      </c>
      <c r="D19" s="69"/>
      <c r="E19" s="64" t="s">
        <v>25</v>
      </c>
      <c r="F19" s="59"/>
      <c r="G19" s="65"/>
      <c r="H19" s="61"/>
      <c r="I19" s="61"/>
      <c r="J19" s="59"/>
      <c r="K19" s="59"/>
      <c r="L19" s="59"/>
      <c r="M19" s="5"/>
      <c r="N19" s="5"/>
      <c r="O19" s="5"/>
    </row>
    <row r="20" spans="1:15" ht="13.5" thickBot="1">
      <c r="A20" s="66"/>
      <c r="B20" s="64"/>
      <c r="C20" s="64"/>
      <c r="D20" s="59"/>
      <c r="E20" s="44" t="s">
        <v>263</v>
      </c>
      <c r="F20" s="45"/>
      <c r="G20" s="37"/>
      <c r="H20" s="38"/>
      <c r="I20" s="61"/>
      <c r="J20" s="59"/>
      <c r="K20" s="59"/>
      <c r="L20" s="59"/>
      <c r="M20" s="5"/>
      <c r="N20" s="5"/>
      <c r="O20" s="5"/>
    </row>
    <row r="21" spans="1:15" ht="13.5" thickBot="1">
      <c r="A21" s="66"/>
      <c r="B21" s="63" t="s">
        <v>91</v>
      </c>
      <c r="C21" s="61"/>
      <c r="D21" s="59"/>
      <c r="E21" s="59"/>
      <c r="F21" s="59"/>
      <c r="G21" s="65"/>
      <c r="H21" s="59"/>
      <c r="I21" s="61"/>
      <c r="J21" s="59"/>
      <c r="K21" s="59"/>
      <c r="L21" s="59"/>
      <c r="M21" s="5"/>
      <c r="N21" s="5"/>
      <c r="O21" s="5"/>
    </row>
    <row r="22" spans="1:15" ht="13.5" thickBot="1">
      <c r="A22" s="66"/>
      <c r="B22" s="40">
        <v>24</v>
      </c>
      <c r="C22" s="64"/>
      <c r="D22" s="69"/>
      <c r="E22" s="64" t="s">
        <v>38</v>
      </c>
      <c r="F22" s="59"/>
      <c r="G22" s="63"/>
      <c r="H22" s="61"/>
      <c r="I22" s="61"/>
      <c r="J22" s="59"/>
      <c r="K22" s="59"/>
      <c r="L22" s="59"/>
      <c r="M22" s="5"/>
      <c r="N22" s="5"/>
      <c r="O22" s="5"/>
    </row>
    <row r="23" spans="1:15" ht="13.5" thickBot="1">
      <c r="A23" s="66"/>
      <c r="B23" s="63" t="s">
        <v>164</v>
      </c>
      <c r="C23" s="67" t="s">
        <v>165</v>
      </c>
      <c r="D23" s="59"/>
      <c r="E23" s="40" t="s">
        <v>264</v>
      </c>
      <c r="F23" s="59"/>
      <c r="G23" s="59"/>
      <c r="H23" s="59"/>
      <c r="I23" s="61"/>
      <c r="J23" s="59"/>
      <c r="K23" s="59"/>
      <c r="L23" s="59"/>
      <c r="M23" s="5"/>
      <c r="N23" s="5"/>
      <c r="O23" s="5"/>
    </row>
    <row r="24" spans="1:15" ht="13.5" thickBot="1">
      <c r="A24" s="66"/>
      <c r="B24" s="40">
        <v>10</v>
      </c>
      <c r="C24" s="70">
        <v>30</v>
      </c>
      <c r="D24" s="59"/>
      <c r="E24" s="59"/>
      <c r="F24" s="59"/>
      <c r="G24" s="59"/>
      <c r="H24" s="61"/>
      <c r="I24" s="61"/>
      <c r="J24" s="59"/>
      <c r="K24" s="59"/>
      <c r="L24" s="59"/>
      <c r="M24" s="5"/>
      <c r="N24" s="5"/>
      <c r="O24" s="5"/>
    </row>
    <row r="25" spans="1:15" ht="13.5" thickBot="1">
      <c r="A25" s="59"/>
      <c r="B25" s="63" t="s">
        <v>131</v>
      </c>
      <c r="C25" s="67" t="s">
        <v>132</v>
      </c>
      <c r="D25" s="59"/>
      <c r="E25" s="59"/>
      <c r="F25" s="59"/>
      <c r="G25" s="59"/>
      <c r="H25" s="61"/>
      <c r="I25" s="61"/>
      <c r="J25" s="59"/>
      <c r="K25" s="59"/>
      <c r="L25" s="59"/>
      <c r="M25" s="5"/>
      <c r="N25" s="5"/>
      <c r="O25" s="5"/>
    </row>
    <row r="26" spans="1:15" ht="12.75">
      <c r="A26" s="59"/>
      <c r="B26" s="57">
        <v>3</v>
      </c>
      <c r="C26" s="57">
        <v>40</v>
      </c>
      <c r="D26" s="59"/>
      <c r="E26" s="59"/>
      <c r="F26" s="59"/>
      <c r="G26" s="59"/>
      <c r="H26" s="61"/>
      <c r="I26" s="238" t="str">
        <f>PSTable_Weeds!J14</f>
        <v>All Parameters Accepted</v>
      </c>
      <c r="J26" s="239"/>
      <c r="K26" s="239"/>
      <c r="L26" s="240"/>
      <c r="M26" s="5"/>
      <c r="N26" s="5"/>
      <c r="O26" s="5"/>
    </row>
    <row r="27" spans="1:15" ht="13.5" thickBot="1">
      <c r="A27" s="59"/>
      <c r="B27" s="63" t="s">
        <v>162</v>
      </c>
      <c r="C27" s="63" t="s">
        <v>163</v>
      </c>
      <c r="D27" s="59"/>
      <c r="E27" s="59"/>
      <c r="F27" s="59"/>
      <c r="G27" s="59"/>
      <c r="H27" s="61"/>
      <c r="I27" s="241"/>
      <c r="J27" s="242"/>
      <c r="K27" s="242"/>
      <c r="L27" s="243"/>
      <c r="M27" s="5"/>
      <c r="N27" s="5"/>
      <c r="O27" s="5"/>
    </row>
    <row r="28" spans="1:15" ht="13.5" thickBot="1">
      <c r="A28" s="59"/>
      <c r="B28" s="74">
        <f>PSTable_Weeds!E11</f>
        <v>0</v>
      </c>
      <c r="C28" s="75">
        <f>PSTable_Weeds!E8</f>
        <v>3.272727272727273</v>
      </c>
      <c r="D28" s="59"/>
      <c r="E28" s="59"/>
      <c r="F28" s="59"/>
      <c r="G28" s="59"/>
      <c r="H28" s="61"/>
      <c r="I28" s="61"/>
      <c r="J28" s="59"/>
      <c r="K28" s="59"/>
      <c r="L28" s="59"/>
      <c r="M28" s="5"/>
      <c r="N28" s="5"/>
      <c r="O28" s="5"/>
    </row>
    <row r="29" spans="1:15" ht="13.5" thickBot="1">
      <c r="A29" s="59"/>
      <c r="B29" s="63" t="s">
        <v>123</v>
      </c>
      <c r="C29" s="59"/>
      <c r="D29" s="59"/>
      <c r="E29" s="63" t="s">
        <v>66</v>
      </c>
      <c r="F29" s="59"/>
      <c r="G29" s="63" t="s">
        <v>67</v>
      </c>
      <c r="H29" s="61"/>
      <c r="I29" s="238" t="str">
        <f>PSTable_Weeds!J16</f>
        <v>Label Rate Requirements Met</v>
      </c>
      <c r="J29" s="239"/>
      <c r="K29" s="239"/>
      <c r="L29" s="240"/>
      <c r="M29" s="5"/>
      <c r="N29" s="5"/>
      <c r="O29" s="5"/>
    </row>
    <row r="30" spans="1:15" ht="13.5" thickBot="1">
      <c r="A30" s="59"/>
      <c r="B30" s="76">
        <f>PSTable_Weeds!E10</f>
        <v>23.278946170828306</v>
      </c>
      <c r="C30" s="59"/>
      <c r="D30" s="59"/>
      <c r="E30" s="59"/>
      <c r="F30" s="59"/>
      <c r="G30" s="59"/>
      <c r="H30" s="61"/>
      <c r="I30" s="241"/>
      <c r="J30" s="242"/>
      <c r="K30" s="242"/>
      <c r="L30" s="243"/>
      <c r="M30" s="5"/>
      <c r="N30" s="5"/>
      <c r="O30" s="5"/>
    </row>
    <row r="31" spans="1:15" s="4" customFormat="1" ht="12.75">
      <c r="A31" s="59"/>
      <c r="B31" s="63" t="s">
        <v>156</v>
      </c>
      <c r="C31" s="59"/>
      <c r="D31" s="59"/>
      <c r="E31" s="59"/>
      <c r="F31" s="59"/>
      <c r="G31" s="59"/>
      <c r="H31" s="61"/>
      <c r="I31" s="61"/>
      <c r="J31" s="59"/>
      <c r="K31" s="59"/>
      <c r="L31" s="59"/>
      <c r="M31" s="5"/>
      <c r="N31" s="5"/>
      <c r="O31" s="5"/>
    </row>
    <row r="32" spans="1:15" ht="12.75">
      <c r="A32" s="59"/>
      <c r="B32" s="73">
        <v>22</v>
      </c>
      <c r="C32" s="59"/>
      <c r="D32" s="59"/>
      <c r="E32" s="59"/>
      <c r="F32" s="59"/>
      <c r="G32" s="59"/>
      <c r="H32" s="61"/>
      <c r="I32" s="61"/>
      <c r="J32" s="59"/>
      <c r="K32" s="59"/>
      <c r="L32" s="59"/>
      <c r="M32" s="5"/>
      <c r="N32" s="5"/>
      <c r="O32" s="5"/>
    </row>
    <row r="33" spans="1:15" ht="12.75">
      <c r="A33" s="11"/>
      <c r="B33" s="10"/>
      <c r="C33" s="10"/>
      <c r="D33" s="11"/>
      <c r="E33" s="10"/>
      <c r="F33" s="10"/>
      <c r="G33" s="10"/>
      <c r="H33" s="12"/>
      <c r="I33" s="12"/>
      <c r="J33" s="10"/>
      <c r="K33" s="10"/>
      <c r="L33" s="10"/>
      <c r="M33" s="5"/>
      <c r="N33" s="5"/>
      <c r="O33" s="5"/>
    </row>
    <row r="34" spans="1:15" ht="15.75">
      <c r="A34" s="20" t="s">
        <v>56</v>
      </c>
      <c r="B34" s="21"/>
      <c r="C34" s="54" t="s">
        <v>146</v>
      </c>
      <c r="D34" s="10"/>
      <c r="E34" s="10"/>
      <c r="F34" s="10"/>
      <c r="G34" s="10"/>
      <c r="H34" s="12"/>
      <c r="I34" s="12"/>
      <c r="J34" s="10"/>
      <c r="K34" s="10"/>
      <c r="L34" s="10"/>
      <c r="M34" s="5"/>
      <c r="N34" s="5"/>
      <c r="O34" s="5"/>
    </row>
    <row r="35" spans="1:15" ht="15.75">
      <c r="A35" s="22">
        <v>1</v>
      </c>
      <c r="B35" s="23"/>
      <c r="C35" s="55">
        <f>PSTable_Weeds!K6</f>
        <v>8.50609566721047</v>
      </c>
      <c r="D35" s="10"/>
      <c r="E35" s="10"/>
      <c r="F35" s="10"/>
      <c r="G35" s="10"/>
      <c r="H35" s="12"/>
      <c r="I35" s="12"/>
      <c r="J35" s="10"/>
      <c r="K35" s="10"/>
      <c r="L35" s="10"/>
      <c r="M35" s="5"/>
      <c r="N35" s="5"/>
      <c r="O35" s="5"/>
    </row>
    <row r="36" spans="1:15" ht="16.5" thickBot="1">
      <c r="A36" s="22">
        <v>2</v>
      </c>
      <c r="B36" s="23"/>
      <c r="C36" s="55">
        <f>PSTable_Weeds!K7</f>
        <v>4.4837302018696015</v>
      </c>
      <c r="D36" s="10"/>
      <c r="E36" s="10">
        <v>3</v>
      </c>
      <c r="F36" s="10"/>
      <c r="G36" s="3"/>
      <c r="H36" s="236"/>
      <c r="I36" s="237"/>
      <c r="J36" s="237"/>
      <c r="K36" s="13"/>
      <c r="L36" s="3"/>
      <c r="M36" s="5"/>
      <c r="N36" s="5"/>
      <c r="O36" s="5"/>
    </row>
    <row r="37" spans="1:15" ht="15.75">
      <c r="A37" s="25">
        <v>3</v>
      </c>
      <c r="B37" s="26"/>
      <c r="C37" s="55">
        <f>PSTable_Weeds!K8</f>
        <v>12.989825869080072</v>
      </c>
      <c r="D37" s="14"/>
      <c r="E37" s="14"/>
      <c r="F37" s="14"/>
      <c r="G37" s="15"/>
      <c r="H37" s="14"/>
      <c r="I37" s="16"/>
      <c r="J37" s="16"/>
      <c r="K37" s="16"/>
      <c r="L37" s="3"/>
      <c r="M37" s="5"/>
      <c r="N37" s="5"/>
      <c r="O37" s="5"/>
    </row>
    <row r="38" spans="1:14" ht="15.75">
      <c r="A38" s="27"/>
      <c r="B38" s="28"/>
      <c r="C38" s="24"/>
      <c r="D38" s="17"/>
      <c r="E38" s="17"/>
      <c r="F38" s="18"/>
      <c r="G38" s="17"/>
      <c r="H38" s="17"/>
      <c r="I38" s="17"/>
      <c r="J38" s="17"/>
      <c r="K38" s="17"/>
      <c r="L38" s="17"/>
      <c r="M38" s="6"/>
      <c r="N38" s="9"/>
    </row>
    <row r="39" spans="1:14" ht="15.75">
      <c r="A39" s="29"/>
      <c r="B39" s="21"/>
      <c r="C39" s="24"/>
      <c r="D39" s="3"/>
      <c r="E39" s="3"/>
      <c r="F39" s="3"/>
      <c r="G39" s="3"/>
      <c r="H39" s="3"/>
      <c r="I39" s="3"/>
      <c r="J39" s="3"/>
      <c r="K39" s="19"/>
      <c r="L39" s="19"/>
      <c r="M39" s="8"/>
      <c r="N39" s="9"/>
    </row>
    <row r="40" spans="1:13" ht="15.75">
      <c r="A40" s="29"/>
      <c r="B40" s="21"/>
      <c r="C40" s="24"/>
      <c r="D40" s="3"/>
      <c r="E40" s="3"/>
      <c r="F40" s="3"/>
      <c r="G40" s="3"/>
      <c r="H40" s="3"/>
      <c r="I40" s="3"/>
      <c r="J40" s="3"/>
      <c r="K40" s="19"/>
      <c r="L40" s="19"/>
      <c r="M40" s="7"/>
    </row>
    <row r="41" spans="1:13" ht="15.75">
      <c r="A41" s="29"/>
      <c r="B41" s="21"/>
      <c r="C41" s="24"/>
      <c r="D41" s="3"/>
      <c r="E41" s="3"/>
      <c r="F41" s="3"/>
      <c r="G41" s="3"/>
      <c r="H41" s="3"/>
      <c r="I41" s="3"/>
      <c r="J41" s="3"/>
      <c r="K41" s="19"/>
      <c r="L41" s="19"/>
      <c r="M41" s="7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19"/>
      <c r="L42" s="19"/>
      <c r="M42" s="7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7"/>
      <c r="L43" s="7"/>
      <c r="M43" s="7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7"/>
      <c r="L44" s="7"/>
      <c r="M44" s="7"/>
    </row>
    <row r="45" spans="1:13" ht="12.75">
      <c r="A45" s="4" t="s">
        <v>74</v>
      </c>
      <c r="B45" s="4"/>
      <c r="C45" s="4"/>
      <c r="D45" s="4"/>
      <c r="E45" s="4"/>
      <c r="F45" s="4"/>
      <c r="G45" s="4"/>
      <c r="H45" s="4"/>
      <c r="I45" s="4" t="s">
        <v>81</v>
      </c>
      <c r="J45" s="4"/>
      <c r="K45" s="7"/>
      <c r="L45" s="7"/>
      <c r="M45" s="7"/>
    </row>
    <row r="46" spans="1:13" ht="12.75">
      <c r="A46" s="30" t="s">
        <v>33</v>
      </c>
      <c r="B46" s="30" t="s">
        <v>45</v>
      </c>
      <c r="C46" s="30" t="s">
        <v>44</v>
      </c>
      <c r="D46" s="30" t="s">
        <v>46</v>
      </c>
      <c r="E46" s="4"/>
      <c r="F46" s="4"/>
      <c r="G46" s="4"/>
      <c r="H46" s="4"/>
      <c r="I46" s="4" t="s">
        <v>33</v>
      </c>
      <c r="J46" s="4"/>
      <c r="K46" s="7"/>
      <c r="L46" s="7"/>
      <c r="M46" s="7"/>
    </row>
    <row r="47" spans="1:12" ht="12.75">
      <c r="A47" s="4">
        <v>1</v>
      </c>
      <c r="B47" s="31"/>
      <c r="C47" s="31" t="s">
        <v>151</v>
      </c>
      <c r="D47" s="4">
        <v>2</v>
      </c>
      <c r="E47" s="4" t="s">
        <v>130</v>
      </c>
      <c r="F47" s="4"/>
      <c r="G47" s="4"/>
      <c r="H47" s="47"/>
      <c r="I47" s="4">
        <v>1</v>
      </c>
      <c r="J47" s="4" t="s">
        <v>129</v>
      </c>
      <c r="K47" s="4"/>
      <c r="L47" s="9">
        <v>1</v>
      </c>
    </row>
    <row r="48" spans="1:12" ht="12.75">
      <c r="A48" s="4"/>
      <c r="C48" t="s">
        <v>152</v>
      </c>
      <c r="D48" s="4"/>
      <c r="E48" s="4"/>
      <c r="F48" s="4"/>
      <c r="G48" s="4"/>
      <c r="H48" s="47"/>
      <c r="I48" s="4"/>
      <c r="J48" s="4"/>
      <c r="K48" s="4"/>
      <c r="L48" s="9"/>
    </row>
    <row r="49" spans="1:12" ht="12.75">
      <c r="A49" s="4"/>
      <c r="B49" s="4"/>
      <c r="C49" s="4" t="s">
        <v>90</v>
      </c>
      <c r="D49" s="4"/>
      <c r="E49" s="4"/>
      <c r="F49" s="4"/>
      <c r="G49" s="4"/>
      <c r="H49" s="47"/>
      <c r="I49" s="4"/>
      <c r="J49" s="4"/>
      <c r="K49" s="4"/>
      <c r="L49" s="9"/>
    </row>
    <row r="50" spans="4:12" ht="12.75">
      <c r="D50" s="4"/>
      <c r="E50" s="4"/>
      <c r="F50" s="4"/>
      <c r="G50" s="9"/>
      <c r="H50" s="47"/>
      <c r="I50" s="4"/>
      <c r="K50" s="4"/>
      <c r="L50" s="9"/>
    </row>
    <row r="51" spans="1:12" ht="12.75">
      <c r="A51" s="4" t="s">
        <v>33</v>
      </c>
      <c r="B51" s="4" t="s">
        <v>158</v>
      </c>
      <c r="C51" s="4" t="s">
        <v>159</v>
      </c>
      <c r="D51" s="4" t="s">
        <v>33</v>
      </c>
      <c r="E51" s="4" t="s">
        <v>158</v>
      </c>
      <c r="F51" s="4" t="s">
        <v>159</v>
      </c>
      <c r="G51" s="9"/>
      <c r="H51" s="47"/>
      <c r="I51" s="4"/>
      <c r="J51" s="4"/>
      <c r="K51" s="4"/>
      <c r="L51" s="9"/>
    </row>
    <row r="52" spans="1:13" ht="12.75">
      <c r="A52" s="4">
        <v>1</v>
      </c>
      <c r="B52" t="s">
        <v>178</v>
      </c>
      <c r="C52" s="4">
        <v>7</v>
      </c>
      <c r="D52" s="4">
        <v>1</v>
      </c>
      <c r="E52" t="s">
        <v>178</v>
      </c>
      <c r="F52" s="4">
        <v>7</v>
      </c>
      <c r="G52" s="47"/>
      <c r="H52" s="47"/>
      <c r="I52" s="4"/>
      <c r="J52" s="4"/>
      <c r="K52" s="4"/>
      <c r="L52" s="4"/>
      <c r="M52" s="9"/>
    </row>
    <row r="53" spans="1:12" ht="12.75">
      <c r="A53" s="4">
        <v>2</v>
      </c>
      <c r="B53" s="4" t="s">
        <v>186</v>
      </c>
      <c r="D53" s="4">
        <v>2</v>
      </c>
      <c r="E53" s="4" t="s">
        <v>186</v>
      </c>
      <c r="G53" s="9"/>
      <c r="H53" s="47"/>
      <c r="I53" s="4"/>
      <c r="J53" s="4"/>
      <c r="K53" s="4"/>
      <c r="L53" s="4"/>
    </row>
    <row r="54" spans="1:12" ht="12.75">
      <c r="A54" s="4">
        <v>3</v>
      </c>
      <c r="B54" t="s">
        <v>187</v>
      </c>
      <c r="C54" s="4"/>
      <c r="D54" s="4">
        <v>3</v>
      </c>
      <c r="E54" t="s">
        <v>187</v>
      </c>
      <c r="F54" s="4"/>
      <c r="G54" s="9"/>
      <c r="H54" s="47"/>
      <c r="I54" s="4"/>
      <c r="J54" s="4"/>
      <c r="K54" s="4"/>
      <c r="L54" s="4"/>
    </row>
    <row r="55" spans="1:12" ht="12.75">
      <c r="A55" s="4">
        <v>4</v>
      </c>
      <c r="B55" s="4" t="s">
        <v>189</v>
      </c>
      <c r="C55" s="4"/>
      <c r="D55" s="4">
        <v>4</v>
      </c>
      <c r="E55" s="4" t="s">
        <v>189</v>
      </c>
      <c r="F55" s="4"/>
      <c r="G55" s="9"/>
      <c r="H55" s="47"/>
      <c r="I55" s="4"/>
      <c r="J55" s="4"/>
      <c r="K55" s="4"/>
      <c r="L55" s="4"/>
    </row>
    <row r="56" spans="1:12" ht="12.75">
      <c r="A56" s="4">
        <v>5</v>
      </c>
      <c r="B56" s="4" t="s">
        <v>188</v>
      </c>
      <c r="D56" s="4">
        <v>5</v>
      </c>
      <c r="E56" s="4" t="s">
        <v>188</v>
      </c>
      <c r="F56" s="4"/>
      <c r="G56" s="9"/>
      <c r="H56" s="47"/>
      <c r="I56" s="4"/>
      <c r="J56" s="4"/>
      <c r="K56" s="4"/>
      <c r="L56" s="4"/>
    </row>
    <row r="57" spans="1:12" ht="12.75">
      <c r="A57" s="4">
        <v>6</v>
      </c>
      <c r="B57" s="4" t="s">
        <v>190</v>
      </c>
      <c r="D57" s="4">
        <v>6</v>
      </c>
      <c r="E57" s="4" t="s">
        <v>190</v>
      </c>
      <c r="F57" s="4"/>
      <c r="G57" s="47"/>
      <c r="H57" s="47"/>
      <c r="I57" s="4"/>
      <c r="J57" s="4"/>
      <c r="K57" s="4"/>
      <c r="L57" s="4"/>
    </row>
    <row r="58" spans="1:12" ht="12.75">
      <c r="A58" s="4">
        <v>7</v>
      </c>
      <c r="B58" s="4" t="s">
        <v>169</v>
      </c>
      <c r="D58" s="4">
        <v>7</v>
      </c>
      <c r="E58" s="4" t="s">
        <v>169</v>
      </c>
      <c r="F58" s="4"/>
      <c r="G58" s="4"/>
      <c r="H58" s="9"/>
      <c r="I58" s="4"/>
      <c r="J58" s="4"/>
      <c r="K58" s="4"/>
      <c r="L58" s="4"/>
    </row>
    <row r="59" spans="1:12" ht="12.75">
      <c r="A59" s="4">
        <v>8</v>
      </c>
      <c r="B59" s="4" t="s">
        <v>191</v>
      </c>
      <c r="D59" s="4">
        <v>8</v>
      </c>
      <c r="E59" s="4" t="s">
        <v>191</v>
      </c>
      <c r="F59" s="4"/>
      <c r="G59" s="4"/>
      <c r="H59" s="9"/>
      <c r="I59" s="4"/>
      <c r="J59" s="4"/>
      <c r="K59" s="4"/>
      <c r="L59" s="4"/>
    </row>
    <row r="60" spans="1:12" ht="12.75">
      <c r="A60" s="4">
        <v>9</v>
      </c>
      <c r="B60" s="4" t="s">
        <v>192</v>
      </c>
      <c r="D60" s="4">
        <v>9</v>
      </c>
      <c r="E60" s="4" t="s">
        <v>192</v>
      </c>
      <c r="F60" s="4"/>
      <c r="G60" s="4"/>
      <c r="H60" s="4"/>
      <c r="I60" s="9"/>
      <c r="J60" s="4"/>
      <c r="K60" s="4"/>
      <c r="L60" s="4"/>
    </row>
    <row r="61" spans="1:12" ht="12.75">
      <c r="A61" s="4">
        <v>10</v>
      </c>
      <c r="B61" s="4" t="s">
        <v>193</v>
      </c>
      <c r="D61" s="4">
        <v>10</v>
      </c>
      <c r="E61" s="4" t="s">
        <v>193</v>
      </c>
      <c r="F61" s="4"/>
      <c r="G61" s="4"/>
      <c r="H61" s="4"/>
      <c r="I61" s="9"/>
      <c r="J61" s="4"/>
      <c r="K61" s="4"/>
      <c r="L61" s="4"/>
    </row>
    <row r="62" spans="1:12" ht="12.75">
      <c r="A62" s="4">
        <v>11</v>
      </c>
      <c r="B62" s="4" t="s">
        <v>194</v>
      </c>
      <c r="D62" s="4">
        <v>11</v>
      </c>
      <c r="E62" s="4" t="s">
        <v>194</v>
      </c>
      <c r="F62" s="4"/>
      <c r="G62" s="4"/>
      <c r="H62" s="4"/>
      <c r="I62" s="9"/>
      <c r="J62" s="4"/>
      <c r="K62" s="4"/>
      <c r="L62" s="4"/>
    </row>
    <row r="63" spans="1:12" ht="12.75">
      <c r="A63" s="4">
        <v>12</v>
      </c>
      <c r="B63" s="4" t="s">
        <v>196</v>
      </c>
      <c r="D63" s="4">
        <v>12</v>
      </c>
      <c r="E63" s="4" t="s">
        <v>196</v>
      </c>
      <c r="F63" s="4"/>
      <c r="G63" s="4"/>
      <c r="H63" s="4"/>
      <c r="I63" s="9"/>
      <c r="J63" s="4"/>
      <c r="K63" s="4"/>
      <c r="L63" s="4"/>
    </row>
    <row r="64" spans="1:12" ht="12.75">
      <c r="A64" s="4">
        <v>13</v>
      </c>
      <c r="B64" s="4" t="s">
        <v>197</v>
      </c>
      <c r="D64" s="4">
        <v>13</v>
      </c>
      <c r="E64" s="4" t="s">
        <v>197</v>
      </c>
      <c r="F64" s="4"/>
      <c r="G64" s="4"/>
      <c r="H64" s="4"/>
      <c r="I64" s="9"/>
      <c r="J64" s="4"/>
      <c r="K64" s="4"/>
      <c r="L64" s="4"/>
    </row>
    <row r="65" spans="1:12" ht="12.75">
      <c r="A65" s="4">
        <v>14</v>
      </c>
      <c r="B65" s="4" t="s">
        <v>198</v>
      </c>
      <c r="C65" s="4"/>
      <c r="D65" s="4">
        <v>14</v>
      </c>
      <c r="E65" s="4" t="s">
        <v>198</v>
      </c>
      <c r="F65" s="4"/>
      <c r="G65" s="4"/>
      <c r="H65" s="4"/>
      <c r="I65" s="9"/>
      <c r="J65" s="4"/>
      <c r="K65" s="4"/>
      <c r="L65" s="4"/>
    </row>
    <row r="66" spans="1:15" ht="12.75">
      <c r="A66" s="4">
        <v>15</v>
      </c>
      <c r="B66" s="4" t="s">
        <v>199</v>
      </c>
      <c r="C66" s="4"/>
      <c r="D66" s="4">
        <v>15</v>
      </c>
      <c r="E66" s="4" t="s">
        <v>199</v>
      </c>
      <c r="F66" s="4"/>
      <c r="G66" s="4"/>
      <c r="H66" s="4"/>
      <c r="I66" s="4"/>
      <c r="J66" s="4"/>
      <c r="K66" s="4"/>
      <c r="L66" s="4"/>
      <c r="N66"/>
      <c r="O66"/>
    </row>
    <row r="67" spans="1:15" ht="12.75">
      <c r="A67" s="4">
        <v>16</v>
      </c>
      <c r="B67" s="4" t="s">
        <v>200</v>
      </c>
      <c r="C67" s="4"/>
      <c r="D67" s="4">
        <v>16</v>
      </c>
      <c r="E67" s="4" t="s">
        <v>200</v>
      </c>
      <c r="F67" s="4"/>
      <c r="G67" s="4"/>
      <c r="H67" s="48"/>
      <c r="I67" s="4"/>
      <c r="J67" s="4"/>
      <c r="K67" s="4"/>
      <c r="L67" s="4"/>
      <c r="N67"/>
      <c r="O67"/>
    </row>
    <row r="68" spans="1:15" ht="12.75">
      <c r="A68" s="4">
        <v>17</v>
      </c>
      <c r="B68" s="4" t="s">
        <v>201</v>
      </c>
      <c r="C68" s="4"/>
      <c r="D68" s="4">
        <v>17</v>
      </c>
      <c r="E68" s="4" t="s">
        <v>201</v>
      </c>
      <c r="F68" s="47"/>
      <c r="G68" s="4"/>
      <c r="H68" s="48"/>
      <c r="I68" s="4"/>
      <c r="J68" s="4"/>
      <c r="K68" s="4"/>
      <c r="L68" s="4"/>
      <c r="N68"/>
      <c r="O68"/>
    </row>
    <row r="69" spans="1:15" ht="12.75">
      <c r="A69" s="4">
        <v>18</v>
      </c>
      <c r="B69" s="4" t="s">
        <v>202</v>
      </c>
      <c r="C69" s="4"/>
      <c r="D69" s="4">
        <v>18</v>
      </c>
      <c r="E69" s="4" t="s">
        <v>202</v>
      </c>
      <c r="F69" s="4"/>
      <c r="G69" s="4"/>
      <c r="H69" s="48"/>
      <c r="I69" s="4"/>
      <c r="J69" s="4"/>
      <c r="K69" s="4"/>
      <c r="L69" s="4"/>
      <c r="N69"/>
      <c r="O69"/>
    </row>
    <row r="70" spans="1:12" ht="12.75">
      <c r="A70" s="4">
        <v>19</v>
      </c>
      <c r="B70" s="4" t="s">
        <v>203</v>
      </c>
      <c r="C70" s="4"/>
      <c r="D70" s="4">
        <v>19</v>
      </c>
      <c r="E70" s="4" t="s">
        <v>203</v>
      </c>
      <c r="F70" s="4"/>
      <c r="G70" s="4"/>
      <c r="H70" s="4"/>
      <c r="I70" s="4"/>
      <c r="J70" s="4"/>
      <c r="K70" s="4"/>
      <c r="L70" s="4"/>
    </row>
    <row r="71" spans="1:12" ht="12.75">
      <c r="A71" s="4">
        <v>20</v>
      </c>
      <c r="B71" s="4" t="s">
        <v>204</v>
      </c>
      <c r="C71" s="4"/>
      <c r="D71" s="4">
        <v>20</v>
      </c>
      <c r="E71" s="4" t="s">
        <v>204</v>
      </c>
      <c r="F71" s="4"/>
      <c r="G71" s="4"/>
      <c r="H71" s="4"/>
      <c r="I71" s="4"/>
      <c r="J71" s="4"/>
      <c r="K71" s="4"/>
      <c r="L71" s="4"/>
    </row>
    <row r="72" spans="1:12" ht="12.75">
      <c r="A72" s="4">
        <v>21</v>
      </c>
      <c r="B72" s="4" t="s">
        <v>205</v>
      </c>
      <c r="C72" s="4"/>
      <c r="D72" s="4">
        <v>21</v>
      </c>
      <c r="E72" s="4" t="s">
        <v>205</v>
      </c>
      <c r="F72" s="4"/>
      <c r="G72" s="4"/>
      <c r="H72" s="4"/>
      <c r="I72" s="4"/>
      <c r="J72" s="4"/>
      <c r="K72" s="4"/>
      <c r="L72" s="4"/>
    </row>
    <row r="73" spans="1:12" ht="12.75">
      <c r="A73" s="4">
        <v>22</v>
      </c>
      <c r="B73" s="4" t="s">
        <v>206</v>
      </c>
      <c r="C73" s="4"/>
      <c r="D73" s="4">
        <v>22</v>
      </c>
      <c r="E73" s="4" t="s">
        <v>206</v>
      </c>
      <c r="F73" s="4"/>
      <c r="G73" s="4"/>
      <c r="H73" s="4"/>
      <c r="I73" s="4"/>
      <c r="J73" s="4"/>
      <c r="K73" s="4"/>
      <c r="L73" s="4"/>
    </row>
    <row r="74" spans="1:12" ht="12.75">
      <c r="A74" s="4">
        <v>23</v>
      </c>
      <c r="B74" s="4" t="s">
        <v>207</v>
      </c>
      <c r="C74" s="4"/>
      <c r="D74" s="4">
        <v>23</v>
      </c>
      <c r="E74" s="4" t="s">
        <v>207</v>
      </c>
      <c r="F74" s="4"/>
      <c r="G74" s="4"/>
      <c r="H74" s="4"/>
      <c r="I74" s="4"/>
      <c r="J74" s="4"/>
      <c r="K74" s="4"/>
      <c r="L74" s="4"/>
    </row>
    <row r="75" spans="1:12" ht="12.75">
      <c r="A75" s="4">
        <v>24</v>
      </c>
      <c r="B75" s="4" t="s">
        <v>208</v>
      </c>
      <c r="C75" s="4"/>
      <c r="D75" s="4">
        <v>24</v>
      </c>
      <c r="E75" s="4" t="s">
        <v>208</v>
      </c>
      <c r="F75" s="4"/>
      <c r="G75" s="4"/>
      <c r="H75" s="4"/>
      <c r="I75" s="4"/>
      <c r="J75" s="4"/>
      <c r="K75" s="4"/>
      <c r="L75" s="4"/>
    </row>
    <row r="76" spans="1:12" ht="12.75">
      <c r="A76" s="4">
        <v>25</v>
      </c>
      <c r="B76" s="4" t="s">
        <v>170</v>
      </c>
      <c r="C76" s="4"/>
      <c r="D76" s="4">
        <v>25</v>
      </c>
      <c r="E76" s="4" t="s">
        <v>170</v>
      </c>
      <c r="F76" s="4"/>
      <c r="G76" s="4"/>
      <c r="H76" s="4"/>
      <c r="I76" s="4"/>
      <c r="J76" s="4"/>
      <c r="K76" s="4"/>
      <c r="L76" s="4"/>
    </row>
    <row r="77" spans="1:12" ht="12.75">
      <c r="A77" s="4">
        <v>26</v>
      </c>
      <c r="B77" s="4" t="s">
        <v>209</v>
      </c>
      <c r="C77" s="4"/>
      <c r="D77" s="4">
        <v>26</v>
      </c>
      <c r="E77" s="4" t="s">
        <v>209</v>
      </c>
      <c r="F77" s="4"/>
      <c r="G77" s="4"/>
      <c r="H77" s="4"/>
      <c r="I77" s="4"/>
      <c r="J77" s="4"/>
      <c r="K77" s="4"/>
      <c r="L77" s="4"/>
    </row>
    <row r="78" spans="1:12" ht="12.75">
      <c r="A78" s="4">
        <v>27</v>
      </c>
      <c r="B78" s="4" t="s">
        <v>171</v>
      </c>
      <c r="C78" s="4"/>
      <c r="D78" s="4">
        <v>27</v>
      </c>
      <c r="E78" s="4" t="s">
        <v>171</v>
      </c>
      <c r="F78" s="4"/>
      <c r="G78" s="4"/>
      <c r="H78" s="4"/>
      <c r="I78" s="4"/>
      <c r="J78" s="4"/>
      <c r="K78" s="4"/>
      <c r="L78" s="4"/>
    </row>
    <row r="79" spans="1:12" ht="12.75">
      <c r="A79" s="4">
        <v>28</v>
      </c>
      <c r="B79" s="4" t="s">
        <v>210</v>
      </c>
      <c r="C79" s="4"/>
      <c r="D79" s="4">
        <v>28</v>
      </c>
      <c r="E79" s="4" t="s">
        <v>210</v>
      </c>
      <c r="F79" s="4"/>
      <c r="G79" s="4"/>
      <c r="H79" s="4"/>
      <c r="I79" s="4"/>
      <c r="J79" s="4"/>
      <c r="K79" s="4"/>
      <c r="L79" s="4"/>
    </row>
    <row r="80" spans="1:12" ht="12.75">
      <c r="A80" s="4">
        <v>29</v>
      </c>
      <c r="B80" s="4" t="s">
        <v>211</v>
      </c>
      <c r="C80" s="4"/>
      <c r="D80" s="4">
        <v>29</v>
      </c>
      <c r="E80" s="4" t="s">
        <v>211</v>
      </c>
      <c r="F80" s="4"/>
      <c r="G80" s="4"/>
      <c r="H80" s="4"/>
      <c r="I80" s="4"/>
      <c r="J80" s="4"/>
      <c r="K80" s="4"/>
      <c r="L80" s="4"/>
    </row>
    <row r="81" spans="1:12" ht="12.75">
      <c r="A81" s="4">
        <v>30</v>
      </c>
      <c r="B81" s="4" t="s">
        <v>212</v>
      </c>
      <c r="C81" s="4"/>
      <c r="D81" s="4">
        <v>30</v>
      </c>
      <c r="E81" s="4" t="s">
        <v>212</v>
      </c>
      <c r="F81" s="4"/>
      <c r="G81" s="4"/>
      <c r="H81" s="4"/>
      <c r="I81" s="4"/>
      <c r="J81" s="4"/>
      <c r="K81" s="4"/>
      <c r="L81" s="4"/>
    </row>
    <row r="82" spans="1:12" ht="12.75">
      <c r="A82" s="4">
        <v>31</v>
      </c>
      <c r="B82" s="4" t="s">
        <v>221</v>
      </c>
      <c r="C82" s="4"/>
      <c r="D82" s="4">
        <v>31</v>
      </c>
      <c r="E82" s="4" t="s">
        <v>221</v>
      </c>
      <c r="F82" s="4"/>
      <c r="G82" s="4"/>
      <c r="H82" s="4"/>
      <c r="I82" s="4"/>
      <c r="J82" s="4"/>
      <c r="K82" s="4"/>
      <c r="L82" s="4"/>
    </row>
    <row r="83" spans="1:12" ht="12.75">
      <c r="A83" s="4">
        <v>32</v>
      </c>
      <c r="B83" s="4" t="s">
        <v>213</v>
      </c>
      <c r="C83" s="4"/>
      <c r="D83" s="4">
        <v>32</v>
      </c>
      <c r="E83" s="4" t="s">
        <v>213</v>
      </c>
      <c r="F83" s="4"/>
      <c r="G83" s="4"/>
      <c r="H83" s="4"/>
      <c r="I83" s="4"/>
      <c r="J83" s="4"/>
      <c r="K83" s="4"/>
      <c r="L83" s="4"/>
    </row>
    <row r="84" spans="1:12" ht="12.75">
      <c r="A84" s="4">
        <v>33</v>
      </c>
      <c r="B84" s="4" t="s">
        <v>214</v>
      </c>
      <c r="C84" s="4"/>
      <c r="D84" s="4">
        <v>33</v>
      </c>
      <c r="E84" s="4" t="s">
        <v>214</v>
      </c>
      <c r="F84" s="4"/>
      <c r="G84" s="4"/>
      <c r="H84" s="4"/>
      <c r="I84" s="4"/>
      <c r="J84" s="4"/>
      <c r="K84" s="4"/>
      <c r="L84" s="4"/>
    </row>
    <row r="85" spans="1:12" ht="12.75">
      <c r="A85" s="4">
        <v>34</v>
      </c>
      <c r="B85" s="4" t="s">
        <v>215</v>
      </c>
      <c r="C85" s="4"/>
      <c r="D85" s="4">
        <v>34</v>
      </c>
      <c r="E85" s="4" t="s">
        <v>215</v>
      </c>
      <c r="F85" s="4"/>
      <c r="G85" s="4"/>
      <c r="H85" s="4"/>
      <c r="I85" s="4"/>
      <c r="J85" s="4"/>
      <c r="K85" s="4"/>
      <c r="L85" s="4"/>
    </row>
    <row r="86" spans="1:12" ht="12.75">
      <c r="A86" s="4">
        <v>35</v>
      </c>
      <c r="B86" s="4" t="s">
        <v>216</v>
      </c>
      <c r="C86" s="4"/>
      <c r="D86" s="4">
        <v>35</v>
      </c>
      <c r="E86" s="4" t="s">
        <v>216</v>
      </c>
      <c r="F86" s="4"/>
      <c r="G86" s="4"/>
      <c r="H86" s="4"/>
      <c r="I86" s="4"/>
      <c r="J86" s="4"/>
      <c r="K86" s="4"/>
      <c r="L86" s="4"/>
    </row>
    <row r="87" spans="1:12" ht="12.75">
      <c r="A87" s="4">
        <v>36</v>
      </c>
      <c r="B87" s="4" t="s">
        <v>217</v>
      </c>
      <c r="C87" s="4"/>
      <c r="D87" s="4">
        <v>36</v>
      </c>
      <c r="E87" s="4" t="s">
        <v>217</v>
      </c>
      <c r="F87" s="4"/>
      <c r="G87" s="4"/>
      <c r="H87" s="4"/>
      <c r="I87" s="4"/>
      <c r="J87" s="4"/>
      <c r="K87" s="4"/>
      <c r="L87" s="4"/>
    </row>
    <row r="88" spans="1:12" ht="12.75">
      <c r="A88" s="4">
        <v>37</v>
      </c>
      <c r="B88" s="4" t="s">
        <v>218</v>
      </c>
      <c r="C88" s="4"/>
      <c r="D88" s="4">
        <v>37</v>
      </c>
      <c r="E88" s="4" t="s">
        <v>218</v>
      </c>
      <c r="F88" s="4"/>
      <c r="G88" s="4"/>
      <c r="H88" s="4"/>
      <c r="I88" s="4"/>
      <c r="J88" s="4"/>
      <c r="K88" s="4"/>
      <c r="L88" s="4"/>
    </row>
    <row r="89" spans="1:12" ht="12.75">
      <c r="A89" s="4">
        <v>38</v>
      </c>
      <c r="B89" s="4" t="s">
        <v>219</v>
      </c>
      <c r="C89" s="4"/>
      <c r="D89" s="4">
        <v>38</v>
      </c>
      <c r="E89" s="4" t="s">
        <v>219</v>
      </c>
      <c r="F89" s="4"/>
      <c r="G89" s="4"/>
      <c r="H89" s="4"/>
      <c r="I89" s="4"/>
      <c r="J89" s="4"/>
      <c r="K89" s="4"/>
      <c r="L89" s="4"/>
    </row>
    <row r="90" spans="1:12" ht="12.75">
      <c r="A90" s="4">
        <v>39</v>
      </c>
      <c r="B90" s="4" t="s">
        <v>220</v>
      </c>
      <c r="C90" s="4"/>
      <c r="D90" s="4">
        <v>39</v>
      </c>
      <c r="E90" s="4" t="s">
        <v>220</v>
      </c>
      <c r="F90" s="4"/>
      <c r="G90" s="4"/>
      <c r="H90" s="4"/>
      <c r="I90" s="4"/>
      <c r="J90" s="4"/>
      <c r="K90" s="4"/>
      <c r="L90" s="4"/>
    </row>
    <row r="91" spans="1:12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9:19" ht="12.75">
      <c r="I95" s="4"/>
      <c r="J95" s="4"/>
      <c r="K95" s="4"/>
      <c r="L95" s="4"/>
      <c r="S95" s="1"/>
    </row>
    <row r="96" spans="9:19" ht="12.75">
      <c r="I96" s="4"/>
      <c r="J96" s="4"/>
      <c r="K96" s="4"/>
      <c r="L96" s="4"/>
      <c r="S96" s="1"/>
    </row>
    <row r="97" spans="1:15" ht="12.75">
      <c r="A97" s="1"/>
      <c r="B97" s="9"/>
      <c r="C97" s="4"/>
      <c r="D97" s="4"/>
      <c r="E97" s="4"/>
      <c r="F97" s="4"/>
      <c r="G97" s="4"/>
      <c r="H97" s="4"/>
      <c r="I97"/>
      <c r="L97" s="1"/>
      <c r="M97"/>
      <c r="N97"/>
      <c r="O97"/>
    </row>
    <row r="98" spans="1:15" ht="12.75">
      <c r="A98" s="1"/>
      <c r="B98" s="4"/>
      <c r="C98" s="4"/>
      <c r="D98" s="4"/>
      <c r="E98" s="4"/>
      <c r="F98" s="4"/>
      <c r="G98" s="4"/>
      <c r="H98" s="4"/>
      <c r="I98"/>
      <c r="L98" s="1"/>
      <c r="M98"/>
      <c r="N98"/>
      <c r="O98"/>
    </row>
    <row r="99" spans="1:15" ht="12.75">
      <c r="A99" s="4"/>
      <c r="B99" s="4"/>
      <c r="C99" s="4"/>
      <c r="D99" s="4"/>
      <c r="E99" s="4"/>
      <c r="F99" s="4"/>
      <c r="G99" s="4"/>
      <c r="H99" s="4"/>
      <c r="I99"/>
      <c r="L99" s="1"/>
      <c r="M99"/>
      <c r="N99"/>
      <c r="O99"/>
    </row>
    <row r="100" spans="1:15" ht="12.75">
      <c r="A100" s="1" t="s">
        <v>241</v>
      </c>
      <c r="B100" s="1" t="s">
        <v>242</v>
      </c>
      <c r="C100" t="s">
        <v>26</v>
      </c>
      <c r="D100" t="s">
        <v>27</v>
      </c>
      <c r="E100" s="4" t="s">
        <v>134</v>
      </c>
      <c r="F100" s="4" t="s">
        <v>135</v>
      </c>
      <c r="G100" s="4" t="s">
        <v>244</v>
      </c>
      <c r="H100" s="4"/>
      <c r="I100"/>
      <c r="L100" s="1"/>
      <c r="M100"/>
      <c r="N100"/>
      <c r="O100"/>
    </row>
    <row r="101" spans="1:15" ht="12.75">
      <c r="A101" s="1">
        <f>PSTable_Weeds!A30</f>
        <v>0</v>
      </c>
      <c r="B101" s="1">
        <f>NVTable_Weed!H36</f>
        <v>1</v>
      </c>
      <c r="C101">
        <f>PSTable_Weeds!B30</f>
        <v>0</v>
      </c>
      <c r="D101" s="52">
        <f>PSTable_Weeds!D30</f>
        <v>5.727918118032565</v>
      </c>
      <c r="E101" s="48">
        <f>PSTable_Weeds!J30</f>
        <v>7.2</v>
      </c>
      <c r="F101" s="48">
        <f>PSTable_Weeds!K30</f>
        <v>3.8</v>
      </c>
      <c r="G101" s="48">
        <f>PSTable_Weeds!L30</f>
        <v>0</v>
      </c>
      <c r="H101" s="4"/>
      <c r="I101"/>
      <c r="M101"/>
      <c r="N101"/>
      <c r="O101"/>
    </row>
    <row r="102" spans="1:15" ht="12.75">
      <c r="A102" s="1">
        <f>PSTable_Weeds!A31</f>
        <v>1</v>
      </c>
      <c r="B102" s="1">
        <f>NVTable_Weed!H37</f>
        <v>1</v>
      </c>
      <c r="C102">
        <f>PSTable_Weeds!B31</f>
        <v>0.15625</v>
      </c>
      <c r="D102" s="52">
        <f>PSTable_Weeds!D31</f>
        <v>5.85479782465402</v>
      </c>
      <c r="E102" s="48">
        <f>PSTable_Weeds!J30</f>
        <v>7.2</v>
      </c>
      <c r="F102" s="48">
        <f>PSTable_Weeds!K30</f>
        <v>3.8</v>
      </c>
      <c r="G102" s="48">
        <f>PSTable_Weeds!L30</f>
        <v>0</v>
      </c>
      <c r="H102" s="4"/>
      <c r="I102"/>
      <c r="M102"/>
      <c r="N102"/>
      <c r="O102"/>
    </row>
    <row r="103" spans="1:15" ht="12.75">
      <c r="A103" s="1">
        <f>PSTable_Weeds!A32</f>
        <v>2</v>
      </c>
      <c r="B103" s="1">
        <f>NVTable_Weed!H38</f>
        <v>1</v>
      </c>
      <c r="C103">
        <f>PSTable_Weeds!B32</f>
        <v>0.3125</v>
      </c>
      <c r="D103" s="52">
        <f>PSTable_Weeds!D32</f>
        <v>5.984488056778916</v>
      </c>
      <c r="E103" s="48">
        <f>PSTable_Weeds!J31</f>
        <v>7.2</v>
      </c>
      <c r="F103" s="48">
        <f>PSTable_Weeds!K31</f>
        <v>3.8</v>
      </c>
      <c r="G103" s="48">
        <f>PSTable_Weeds!L31</f>
        <v>1</v>
      </c>
      <c r="H103" s="4"/>
      <c r="I103"/>
      <c r="M103"/>
      <c r="N103"/>
      <c r="O103"/>
    </row>
    <row r="104" spans="1:15" ht="12.75">
      <c r="A104" s="1">
        <f>PSTable_Weeds!A33</f>
        <v>3</v>
      </c>
      <c r="B104" s="1">
        <f>NVTable_Weed!H39</f>
        <v>1</v>
      </c>
      <c r="C104">
        <f>PSTable_Weeds!B33</f>
        <v>0.46875</v>
      </c>
      <c r="D104" s="52">
        <f>PSTable_Weeds!D33</f>
        <v>6.117051070648345</v>
      </c>
      <c r="E104" s="48">
        <f>PSTable_Weeds!J32</f>
        <v>7.2</v>
      </c>
      <c r="F104" s="48">
        <f>PSTable_Weeds!K32</f>
        <v>3.8</v>
      </c>
      <c r="G104" s="48">
        <f>PSTable_Weeds!L32</f>
        <v>1</v>
      </c>
      <c r="H104" s="4"/>
      <c r="I104"/>
      <c r="M104"/>
      <c r="N104"/>
      <c r="O104"/>
    </row>
    <row r="105" spans="1:12" ht="12.75">
      <c r="A105" s="1">
        <f>PSTable_Weeds!A34</f>
        <v>4</v>
      </c>
      <c r="B105" s="1">
        <f>NVTable_Weed!H40</f>
        <v>1</v>
      </c>
      <c r="C105">
        <f>PSTable_Weeds!B34</f>
        <v>0.625</v>
      </c>
      <c r="D105" s="52">
        <f>PSTable_Weeds!D34</f>
        <v>6.252550501547841</v>
      </c>
      <c r="E105" s="48">
        <f>PSTable_Weeds!J33</f>
        <v>7.2</v>
      </c>
      <c r="F105" s="48">
        <f>PSTable_Weeds!K33</f>
        <v>3.8</v>
      </c>
      <c r="G105" s="48">
        <f>PSTable_Weeds!L33</f>
        <v>1</v>
      </c>
      <c r="H105" s="4"/>
      <c r="I105" s="4"/>
      <c r="J105" s="4"/>
      <c r="K105" s="4"/>
      <c r="L105" s="4"/>
    </row>
    <row r="106" spans="1:9" ht="12.75">
      <c r="A106" s="1">
        <f>PSTable_Weeds!A35</f>
        <v>5</v>
      </c>
      <c r="B106" s="1">
        <f>NVTable_Weed!H41</f>
        <v>3</v>
      </c>
      <c r="C106">
        <f>PSTable_Weeds!B35</f>
        <v>0.78125</v>
      </c>
      <c r="D106" s="52">
        <f>PSTable_Weeds!D35</f>
        <v>6.391051394354723</v>
      </c>
      <c r="E106" s="48">
        <f>PSTable_Weeds!J34</f>
        <v>7.2</v>
      </c>
      <c r="F106" s="48">
        <f>PSTable_Weeds!K34</f>
        <v>3.8</v>
      </c>
      <c r="G106" s="48">
        <f>PSTable_Weeds!L34</f>
        <v>1</v>
      </c>
      <c r="H106"/>
      <c r="I106"/>
    </row>
    <row r="107" spans="1:9" ht="12.75">
      <c r="A107" s="1">
        <f>PSTable_Weeds!A36</f>
        <v>6</v>
      </c>
      <c r="B107" s="1">
        <f>NVTable_Weed!H42</f>
        <v>3</v>
      </c>
      <c r="C107">
        <f>PSTable_Weeds!B36</f>
        <v>0.9375</v>
      </c>
      <c r="D107" s="52">
        <f>PSTable_Weeds!D36</f>
        <v>6.532620234762115</v>
      </c>
      <c r="E107" s="48">
        <f>PSTable_Weeds!J35</f>
        <v>7.2</v>
      </c>
      <c r="F107" s="48">
        <f>PSTable_Weeds!K35</f>
        <v>3.8</v>
      </c>
      <c r="G107" s="48">
        <f>PSTable_Weeds!L35</f>
        <v>1</v>
      </c>
      <c r="H107"/>
      <c r="I107"/>
    </row>
    <row r="108" spans="1:9" ht="12.75">
      <c r="A108" s="1">
        <f>PSTable_Weeds!A37</f>
        <v>7</v>
      </c>
      <c r="B108" s="1">
        <f>NVTable_Weed!H43</f>
        <v>3</v>
      </c>
      <c r="C108">
        <f>PSTable_Weeds!B37</f>
        <v>1.09375</v>
      </c>
      <c r="D108" s="52">
        <f>PSTable_Weeds!D37</f>
        <v>6.677324981194611</v>
      </c>
      <c r="E108" s="48">
        <f>PSTable_Weeds!J36</f>
        <v>7.2</v>
      </c>
      <c r="F108" s="48">
        <f>PSTable_Weeds!K36</f>
        <v>3.8</v>
      </c>
      <c r="G108" s="48">
        <f>PSTable_Weeds!L36</f>
        <v>1</v>
      </c>
      <c r="H108"/>
      <c r="I108"/>
    </row>
    <row r="109" spans="1:9" ht="12.75">
      <c r="A109" s="1">
        <f>PSTable_Weeds!A38</f>
        <v>8</v>
      </c>
      <c r="B109" s="1">
        <f>NVTable_Weed!H44</f>
        <v>3</v>
      </c>
      <c r="C109">
        <f>PSTable_Weeds!B38</f>
        <v>1.25</v>
      </c>
      <c r="D109" s="52">
        <f>PSTable_Weeds!D38</f>
        <v>6.825235097430891</v>
      </c>
      <c r="E109" s="48">
        <f>PSTable_Weeds!J37</f>
        <v>7.2</v>
      </c>
      <c r="F109" s="48">
        <f>PSTable_Weeds!K37</f>
        <v>3.8</v>
      </c>
      <c r="G109" s="48">
        <f>PSTable_Weeds!L37</f>
        <v>1</v>
      </c>
      <c r="H109"/>
      <c r="I109"/>
    </row>
    <row r="110" spans="1:9" ht="12.75">
      <c r="A110" s="1">
        <f>PSTable_Weeds!A39</f>
        <v>9</v>
      </c>
      <c r="B110" s="1">
        <f>NVTable_Weed!H45</f>
        <v>3</v>
      </c>
      <c r="C110">
        <f>PSTable_Weeds!B39</f>
        <v>1.40625</v>
      </c>
      <c r="D110" s="52">
        <f>PSTable_Weeds!D39</f>
        <v>6.97642158594898</v>
      </c>
      <c r="E110" s="48">
        <f>PSTable_Weeds!J38</f>
        <v>7.2</v>
      </c>
      <c r="F110" s="48">
        <f>PSTable_Weeds!K38</f>
        <v>3.8</v>
      </c>
      <c r="G110" s="48">
        <f>PSTable_Weeds!L38</f>
        <v>1</v>
      </c>
      <c r="H110"/>
      <c r="I110"/>
    </row>
    <row r="111" spans="1:9" ht="12.75">
      <c r="A111" s="1">
        <f>PSTable_Weeds!A40</f>
        <v>10</v>
      </c>
      <c r="B111" s="1">
        <f>NVTable_Weed!H46</f>
        <v>3</v>
      </c>
      <c r="C111">
        <f>PSTable_Weeds!B40</f>
        <v>1.5625</v>
      </c>
      <c r="D111" s="52">
        <f>PSTable_Weeds!D40</f>
        <v>7.130957022010143</v>
      </c>
      <c r="E111" s="48">
        <f>PSTable_Weeds!J39</f>
        <v>7.2</v>
      </c>
      <c r="F111" s="48">
        <f>PSTable_Weeds!K39</f>
        <v>3.8</v>
      </c>
      <c r="G111" s="48">
        <f>PSTable_Weeds!L39</f>
        <v>1</v>
      </c>
      <c r="H111"/>
      <c r="I111"/>
    </row>
    <row r="112" spans="1:9" ht="12.75">
      <c r="A112" s="1">
        <f>PSTable_Weeds!A41</f>
        <v>11</v>
      </c>
      <c r="B112" s="1">
        <f>NVTable_Weed!H47</f>
        <v>3</v>
      </c>
      <c r="C112">
        <f>PSTable_Weeds!B41</f>
        <v>1.71875</v>
      </c>
      <c r="D112" s="52">
        <f>PSTable_Weeds!D41</f>
        <v>7.288915588497755</v>
      </c>
      <c r="E112" s="48">
        <f>PSTable_Weeds!J40</f>
        <v>7.2</v>
      </c>
      <c r="F112" s="48">
        <f>PSTable_Weeds!K40</f>
        <v>3.8</v>
      </c>
      <c r="G112" s="48">
        <f>PSTable_Weeds!L40</f>
        <v>1</v>
      </c>
      <c r="H112"/>
      <c r="I112"/>
    </row>
    <row r="113" spans="1:9" ht="12.75">
      <c r="A113" s="1">
        <f>PSTable_Weeds!A42</f>
        <v>12</v>
      </c>
      <c r="B113" s="1">
        <f>NVTable_Weed!H48</f>
        <v>3</v>
      </c>
      <c r="C113">
        <f>PSTable_Weeds!B42</f>
        <v>1.875</v>
      </c>
      <c r="D113" s="52">
        <f>PSTable_Weeds!D42</f>
        <v>7.450373111527921</v>
      </c>
      <c r="E113" s="48">
        <f>PSTable_Weeds!J41</f>
        <v>7.2</v>
      </c>
      <c r="F113" s="48">
        <f>PSTable_Weeds!K41</f>
        <v>3.8</v>
      </c>
      <c r="G113" s="48">
        <f>PSTable_Weeds!L41</f>
        <v>1</v>
      </c>
      <c r="H113"/>
      <c r="I113"/>
    </row>
    <row r="114" spans="1:9" ht="12.75">
      <c r="A114" s="1">
        <f>PSTable_Weeds!A43</f>
        <v>13</v>
      </c>
      <c r="B114" s="1">
        <f>NVTable_Weed!H49</f>
        <v>3</v>
      </c>
      <c r="C114">
        <f>PSTable_Weeds!B43</f>
        <v>2.03125</v>
      </c>
      <c r="D114" s="52">
        <f>PSTable_Weeds!D43</f>
        <v>7.615407096848883</v>
      </c>
      <c r="E114" s="48">
        <f>PSTable_Weeds!J42</f>
        <v>7.2</v>
      </c>
      <c r="F114" s="48">
        <f>PSTable_Weeds!K42</f>
        <v>3.8</v>
      </c>
      <c r="G114" s="48">
        <f>PSTable_Weeds!L42</f>
        <v>1</v>
      </c>
      <c r="H114"/>
      <c r="I114"/>
    </row>
    <row r="115" spans="1:9" ht="12.75">
      <c r="A115" s="1">
        <f>PSTable_Weeds!A44</f>
        <v>14</v>
      </c>
      <c r="B115" s="1">
        <f>NVTable_Weed!H50</f>
        <v>3</v>
      </c>
      <c r="C115">
        <f>PSTable_Weeds!B44</f>
        <v>2.1875</v>
      </c>
      <c r="D115" s="52">
        <f>PSTable_Weeds!D44</f>
        <v>7.784096767046719</v>
      </c>
      <c r="E115" s="48">
        <f>PSTable_Weeds!J43</f>
        <v>7.2</v>
      </c>
      <c r="F115" s="48">
        <f>PSTable_Weeds!K43</f>
        <v>3.8</v>
      </c>
      <c r="G115" s="48">
        <f>PSTable_Weeds!L43</f>
        <v>1</v>
      </c>
      <c r="H115"/>
      <c r="I115"/>
    </row>
    <row r="116" spans="1:9" ht="12.75">
      <c r="A116" s="1">
        <f>PSTable_Weeds!A45</f>
        <v>15</v>
      </c>
      <c r="B116" s="1">
        <f>NVTable_Weed!H51</f>
        <v>3</v>
      </c>
      <c r="C116">
        <f>PSTable_Weeds!B45</f>
        <v>2.34375</v>
      </c>
      <c r="D116" s="52">
        <f>PSTable_Weeds!D45</f>
        <v>7.956523099575219</v>
      </c>
      <c r="E116" s="48">
        <f>PSTable_Weeds!J44</f>
        <v>7.2</v>
      </c>
      <c r="F116" s="48">
        <f>PSTable_Weeds!K44</f>
        <v>3.8</v>
      </c>
      <c r="G116" s="48">
        <f>PSTable_Weeds!L44</f>
        <v>1</v>
      </c>
      <c r="H116"/>
      <c r="I116"/>
    </row>
    <row r="117" spans="1:9" ht="12.75">
      <c r="A117" s="1">
        <f>PSTable_Weeds!A46</f>
        <v>16</v>
      </c>
      <c r="B117" s="1">
        <f>NVTable_Weed!H52</f>
        <v>3</v>
      </c>
      <c r="C117">
        <f>PSTable_Weeds!B46</f>
        <v>2.5</v>
      </c>
      <c r="D117" s="52">
        <f>PSTable_Weeds!D46</f>
        <v>8.132768865628117</v>
      </c>
      <c r="E117" s="48">
        <f>PSTable_Weeds!J45</f>
        <v>7.2</v>
      </c>
      <c r="F117" s="48">
        <f>PSTable_Weeds!K45</f>
        <v>3.8</v>
      </c>
      <c r="G117" s="48">
        <f>PSTable_Weeds!L45</f>
        <v>1</v>
      </c>
      <c r="H117"/>
      <c r="I117"/>
    </row>
    <row r="118" spans="1:9" ht="12.75">
      <c r="A118" s="1">
        <f>PSTable_Weeds!A47</f>
        <v>17</v>
      </c>
      <c r="B118" s="1">
        <f>NVTable_Weed!H53</f>
        <v>3</v>
      </c>
      <c r="C118">
        <f>PSTable_Weeds!B47</f>
        <v>2.65625</v>
      </c>
      <c r="D118" s="52">
        <f>PSTable_Weeds!D47</f>
        <v>8.31291866987243</v>
      </c>
      <c r="E118" s="48">
        <f>PSTable_Weeds!J46</f>
        <v>7.2</v>
      </c>
      <c r="F118" s="48">
        <f>PSTable_Weeds!K46</f>
        <v>3.8</v>
      </c>
      <c r="G118" s="48">
        <f>PSTable_Weeds!L46</f>
        <v>1</v>
      </c>
      <c r="H118"/>
      <c r="I118"/>
    </row>
    <row r="119" spans="1:9" ht="12.75">
      <c r="A119" s="1">
        <f>PSTable_Weeds!A48</f>
        <v>18</v>
      </c>
      <c r="B119" s="1">
        <f>NVTable_Weed!H54</f>
        <v>3</v>
      </c>
      <c r="C119">
        <f>PSTable_Weeds!B48</f>
        <v>2.8125</v>
      </c>
      <c r="D119" s="52">
        <f>PSTable_Weeds!D48</f>
        <v>8.497058991061886</v>
      </c>
      <c r="E119" s="48">
        <f>PSTable_Weeds!J47</f>
        <v>7.2</v>
      </c>
      <c r="F119" s="48">
        <f>PSTable_Weeds!K47</f>
        <v>3.8</v>
      </c>
      <c r="G119" s="48">
        <f>PSTable_Weeds!L47</f>
        <v>1</v>
      </c>
      <c r="H119"/>
      <c r="I119"/>
    </row>
    <row r="120" spans="1:9" ht="12.75">
      <c r="A120" s="1">
        <f>PSTable_Weeds!A49</f>
        <v>19</v>
      </c>
      <c r="B120" s="1">
        <f>NVTable_Weed!H55</f>
        <v>3</v>
      </c>
      <c r="C120">
        <f>PSTable_Weeds!B49</f>
        <v>2.96875</v>
      </c>
      <c r="D120" s="52">
        <f>PSTable_Weeds!D49</f>
        <v>8.685278223550052</v>
      </c>
      <c r="E120" s="48">
        <f>PSTable_Weeds!J48</f>
        <v>7.2</v>
      </c>
      <c r="F120" s="48">
        <f>PSTable_Weeds!K48</f>
        <v>3.8</v>
      </c>
      <c r="G120" s="48">
        <f>PSTable_Weeds!L48</f>
        <v>1</v>
      </c>
      <c r="H120"/>
      <c r="I120"/>
    </row>
    <row r="121" spans="1:9" ht="12.75">
      <c r="A121" s="1">
        <f>PSTable_Weeds!A50</f>
        <v>20</v>
      </c>
      <c r="B121" s="1">
        <f>NVTable_Weed!H56</f>
        <v>3</v>
      </c>
      <c r="C121">
        <f>PSTable_Weeds!B50</f>
        <v>3.125</v>
      </c>
      <c r="D121" s="52">
        <f>PSTable_Weeds!D50</f>
        <v>8.877666719722942</v>
      </c>
      <c r="E121" s="48">
        <f>PSTable_Weeds!J49</f>
        <v>7.2</v>
      </c>
      <c r="F121" s="48">
        <f>PSTable_Weeds!K49</f>
        <v>3.8</v>
      </c>
      <c r="G121" s="48">
        <f>PSTable_Weeds!L49</f>
        <v>1</v>
      </c>
      <c r="H121"/>
      <c r="I121"/>
    </row>
    <row r="122" spans="1:9" ht="12.75">
      <c r="A122" s="1">
        <f>PSTable_Weeds!A51</f>
        <v>21</v>
      </c>
      <c r="B122" s="1">
        <f>NVTable_Weed!H57</f>
        <v>3</v>
      </c>
      <c r="C122">
        <f>PSTable_Weeds!B51</f>
        <v>3.28125</v>
      </c>
      <c r="D122" s="52">
        <f>PSTable_Weeds!D51</f>
        <v>9.074316833371633</v>
      </c>
      <c r="E122" s="48">
        <f>PSTable_Weeds!J50</f>
        <v>7.2</v>
      </c>
      <c r="F122" s="48">
        <f>PSTable_Weeds!K50</f>
        <v>3.8</v>
      </c>
      <c r="G122" s="48">
        <f>PSTable_Weeds!L50</f>
        <v>1</v>
      </c>
      <c r="H122"/>
      <c r="I122"/>
    </row>
    <row r="123" spans="1:9" ht="12.75">
      <c r="A123" s="1">
        <f>PSTable_Weeds!A52</f>
        <v>22</v>
      </c>
      <c r="B123" s="1">
        <f>NVTable_Weed!H58</f>
        <v>3</v>
      </c>
      <c r="C123">
        <f>PSTable_Weeds!B52</f>
        <v>3.4375</v>
      </c>
      <c r="D123" s="52">
        <f>PSTable_Weeds!D52</f>
        <v>9.275322964025571</v>
      </c>
      <c r="E123" s="48">
        <f>PSTable_Weeds!J51</f>
        <v>7.2</v>
      </c>
      <c r="F123" s="48">
        <f>PSTable_Weeds!K51</f>
        <v>3.8</v>
      </c>
      <c r="G123" s="48">
        <f>PSTable_Weeds!L51</f>
        <v>1</v>
      </c>
      <c r="H123"/>
      <c r="I123"/>
    </row>
    <row r="124" spans="1:9" ht="12.75">
      <c r="A124" s="1">
        <f>PSTable_Weeds!A53</f>
        <v>23</v>
      </c>
      <c r="B124" s="1">
        <f>NVTable_Weed!H59</f>
        <v>3</v>
      </c>
      <c r="C124">
        <f>PSTable_Weeds!B53</f>
        <v>3.59375</v>
      </c>
      <c r="D124" s="52">
        <f>PSTable_Weeds!D53</f>
        <v>9.480781602267951</v>
      </c>
      <c r="E124" s="48">
        <f>PSTable_Weeds!J52</f>
        <v>7.2</v>
      </c>
      <c r="F124" s="48">
        <f>PSTable_Weeds!K52</f>
        <v>3.8</v>
      </c>
      <c r="G124" s="48">
        <f>PSTable_Weeds!L52</f>
        <v>1</v>
      </c>
      <c r="H124"/>
      <c r="I124"/>
    </row>
    <row r="125" spans="1:9" ht="12.75">
      <c r="A125" s="1">
        <f>PSTable_Weeds!A54</f>
        <v>24</v>
      </c>
      <c r="B125" s="1">
        <f>NVTable_Weed!H60</f>
        <v>3</v>
      </c>
      <c r="C125">
        <f>PSTable_Weeds!B54</f>
        <v>3.75</v>
      </c>
      <c r="D125" s="52">
        <f>PSTable_Weeds!D54</f>
        <v>9.69079137605484</v>
      </c>
      <c r="E125" s="48">
        <f>PSTable_Weeds!J53</f>
        <v>7.2</v>
      </c>
      <c r="F125" s="48">
        <f>PSTable_Weeds!K53</f>
        <v>3.8</v>
      </c>
      <c r="G125" s="48">
        <f>PSTable_Weeds!L53</f>
        <v>1</v>
      </c>
      <c r="H125"/>
      <c r="I125"/>
    </row>
    <row r="126" spans="1:9" ht="12.75">
      <c r="A126" s="1">
        <f>PSTable_Weeds!A55</f>
        <v>25</v>
      </c>
      <c r="B126" s="1">
        <f>NVTable_Weed!H61</f>
        <v>3</v>
      </c>
      <c r="C126">
        <f>PSTable_Weeds!B55</f>
        <v>3.90625</v>
      </c>
      <c r="D126" s="52">
        <f>PSTable_Weeds!D55</f>
        <v>9.905453098060372</v>
      </c>
      <c r="E126" s="48">
        <f>PSTable_Weeds!J54</f>
        <v>7.2</v>
      </c>
      <c r="F126" s="48">
        <f>PSTable_Weeds!K54</f>
        <v>3.8</v>
      </c>
      <c r="G126" s="48">
        <f>PSTable_Weeds!L54</f>
        <v>1</v>
      </c>
      <c r="H126"/>
      <c r="I126"/>
    </row>
    <row r="127" spans="1:9" ht="12.75">
      <c r="A127" s="1">
        <f>PSTable_Weeds!A56</f>
        <v>26</v>
      </c>
      <c r="B127" s="1">
        <f>NVTable_Weed!H62</f>
        <v>3</v>
      </c>
      <c r="C127">
        <f>PSTable_Weeds!B56</f>
        <v>4.0625</v>
      </c>
      <c r="D127" s="52">
        <f>PSTable_Weeds!D56</f>
        <v>10.124869814070653</v>
      </c>
      <c r="E127" s="48">
        <f>PSTable_Weeds!J55</f>
        <v>7.2</v>
      </c>
      <c r="F127" s="48">
        <f>PSTable_Weeds!K55</f>
        <v>3.8</v>
      </c>
      <c r="G127" s="48">
        <f>PSTable_Weeds!L55</f>
        <v>1</v>
      </c>
      <c r="H127"/>
      <c r="I127"/>
    </row>
    <row r="128" spans="1:9" ht="12.75">
      <c r="A128" s="1">
        <f>PSTable_Weeds!A57</f>
        <v>27</v>
      </c>
      <c r="B128" s="1">
        <f>NVTable_Weed!H63</f>
        <v>3</v>
      </c>
      <c r="C128">
        <f>PSTable_Weeds!B57</f>
        <v>4.21875</v>
      </c>
      <c r="D128" s="52">
        <f>PSTable_Weeds!D57</f>
        <v>10.349146852449644</v>
      </c>
      <c r="E128" s="48">
        <f>PSTable_Weeds!J56</f>
        <v>7.2</v>
      </c>
      <c r="F128" s="48">
        <f>PSTable_Weeds!K56</f>
        <v>3.8</v>
      </c>
      <c r="G128" s="48">
        <f>PSTable_Weeds!L56</f>
        <v>1</v>
      </c>
      <c r="H128"/>
      <c r="I128"/>
    </row>
    <row r="129" spans="1:9" ht="12.75">
      <c r="A129" s="1">
        <f>PSTable_Weeds!A58</f>
        <v>28</v>
      </c>
      <c r="B129" s="1">
        <f>NVTable_Weed!H64</f>
        <v>3</v>
      </c>
      <c r="C129">
        <f>PSTable_Weeds!B58</f>
        <v>4.375</v>
      </c>
      <c r="D129" s="52">
        <f>PSTable_Weeds!D58</f>
        <v>10.578391874700797</v>
      </c>
      <c r="E129" s="48">
        <f>PSTable_Weeds!J57</f>
        <v>7.2</v>
      </c>
      <c r="F129" s="48">
        <f>PSTable_Weeds!K57</f>
        <v>3.8</v>
      </c>
      <c r="G129" s="48">
        <f>PSTable_Weeds!L57</f>
        <v>1</v>
      </c>
      <c r="H129"/>
      <c r="I129"/>
    </row>
    <row r="130" spans="1:9" ht="12.75">
      <c r="A130" s="1">
        <f>PSTable_Weeds!A59</f>
        <v>29</v>
      </c>
      <c r="B130" s="1">
        <f>NVTable_Weed!H65</f>
        <v>3</v>
      </c>
      <c r="C130">
        <f>PSTable_Weeds!B59</f>
        <v>4.53125</v>
      </c>
      <c r="D130" s="52">
        <f>PSTable_Weeds!D59</f>
        <v>10.812714927148665</v>
      </c>
      <c r="E130" s="48">
        <f>PSTable_Weeds!J58</f>
        <v>7.2</v>
      </c>
      <c r="F130" s="48">
        <f>PSTable_Weeds!K58</f>
        <v>3.8</v>
      </c>
      <c r="G130" s="48">
        <f>PSTable_Weeds!L58</f>
        <v>1</v>
      </c>
      <c r="H130"/>
      <c r="I130"/>
    </row>
    <row r="131" spans="1:9" ht="12.75">
      <c r="A131" s="1">
        <f>PSTable_Weeds!A60</f>
        <v>30</v>
      </c>
      <c r="B131" s="1">
        <f>NVTable_Weed!H66</f>
        <v>3</v>
      </c>
      <c r="C131">
        <f>PSTable_Weeds!B60</f>
        <v>4.6875</v>
      </c>
      <c r="D131" s="52">
        <f>PSTable_Weeds!D60</f>
        <v>11.052228493765309</v>
      </c>
      <c r="E131" s="48">
        <f>PSTable_Weeds!J59</f>
        <v>7.2</v>
      </c>
      <c r="F131" s="48">
        <f>PSTable_Weeds!K59</f>
        <v>3.8</v>
      </c>
      <c r="G131" s="48">
        <f>PSTable_Weeds!L59</f>
        <v>1</v>
      </c>
      <c r="H131"/>
      <c r="I131"/>
    </row>
    <row r="132" spans="1:9" ht="12.75">
      <c r="A132" s="1">
        <f>PSTable_Weeds!A61</f>
        <v>31</v>
      </c>
      <c r="B132" s="1">
        <f>NVTable_Weed!H67</f>
        <v>3</v>
      </c>
      <c r="C132">
        <f>PSTable_Weeds!B61</f>
        <v>4.84375</v>
      </c>
      <c r="D132" s="52">
        <f>PSTable_Weeds!D61</f>
        <v>11.297047550166884</v>
      </c>
      <c r="E132" s="48">
        <f>PSTable_Weeds!J60</f>
        <v>7.2</v>
      </c>
      <c r="F132" s="48">
        <f>PSTable_Weeds!K60</f>
        <v>3.8</v>
      </c>
      <c r="G132" s="48">
        <f>PSTable_Weeds!L60</f>
        <v>1</v>
      </c>
      <c r="H132"/>
      <c r="I132"/>
    </row>
    <row r="133" spans="1:9" ht="12.75">
      <c r="A133" s="1">
        <f>PSTable_Weeds!A62</f>
        <v>32</v>
      </c>
      <c r="B133" s="1">
        <f>NVTable_Weed!H68</f>
        <v>3</v>
      </c>
      <c r="C133">
        <f>PSTable_Weeds!B62</f>
        <v>5</v>
      </c>
      <c r="D133" s="52">
        <f>PSTable_Weeds!D62</f>
        <v>11.54728961880632</v>
      </c>
      <c r="E133" s="48">
        <f>PSTable_Weeds!J61</f>
        <v>7.2</v>
      </c>
      <c r="F133" s="48">
        <f>PSTable_Weeds!K61</f>
        <v>3.8</v>
      </c>
      <c r="G133" s="48">
        <f>PSTable_Weeds!L61</f>
        <v>1</v>
      </c>
      <c r="H133"/>
      <c r="I133"/>
    </row>
    <row r="134" spans="1:9" ht="12.75">
      <c r="A134" s="1">
        <f>PSTable_Weeds!A63</f>
        <v>33</v>
      </c>
      <c r="B134" s="1">
        <f>NVTable_Weed!H69</f>
        <v>3</v>
      </c>
      <c r="C134">
        <f>PSTable_Weeds!B63</f>
        <v>5.15625</v>
      </c>
      <c r="D134" s="52">
        <f>PSTable_Weeds!D63</f>
        <v>11.803074825388563</v>
      </c>
      <c r="E134" s="48">
        <f>PSTable_Weeds!J62</f>
        <v>7.2</v>
      </c>
      <c r="F134" s="48">
        <f>PSTable_Weeds!K62</f>
        <v>3.8</v>
      </c>
      <c r="G134" s="48">
        <f>PSTable_Weeds!L62</f>
        <v>1</v>
      </c>
      <c r="H134"/>
      <c r="I134"/>
    </row>
    <row r="135" spans="1:9" ht="12.75">
      <c r="A135" s="1">
        <f>PSTable_Weeds!A64</f>
        <v>34</v>
      </c>
      <c r="B135" s="1">
        <f>NVTable_Weed!H70</f>
        <v>3</v>
      </c>
      <c r="C135">
        <f>PSTable_Weeds!B64</f>
        <v>5.3125</v>
      </c>
      <c r="D135" s="52">
        <f>PSTable_Weeds!D64</f>
        <v>12.064525956535459</v>
      </c>
      <c r="E135" s="48">
        <f>PSTable_Weeds!J63</f>
        <v>7.2</v>
      </c>
      <c r="F135" s="48">
        <f>PSTable_Weeds!K63</f>
        <v>3.8</v>
      </c>
      <c r="G135" s="48">
        <f>PSTable_Weeds!L63</f>
        <v>1</v>
      </c>
      <c r="H135"/>
      <c r="I135"/>
    </row>
    <row r="136" spans="1:9" ht="12.75">
      <c r="A136" s="1">
        <f>PSTable_Weeds!A65</f>
        <v>35</v>
      </c>
      <c r="B136" s="1">
        <f>NVTable_Weed!H71</f>
        <v>3</v>
      </c>
      <c r="C136">
        <f>PSTable_Weeds!B65</f>
        <v>5.46875</v>
      </c>
      <c r="D136" s="52">
        <f>PSTable_Weeds!D65</f>
        <v>12.331768518728005</v>
      </c>
      <c r="E136" s="48">
        <f>PSTable_Weeds!J64</f>
        <v>7.2</v>
      </c>
      <c r="F136" s="48">
        <f>PSTable_Weeds!K64</f>
        <v>3.8</v>
      </c>
      <c r="G136" s="48">
        <f>PSTable_Weeds!L64</f>
        <v>1</v>
      </c>
      <c r="H136"/>
      <c r="I136"/>
    </row>
    <row r="137" spans="1:9" ht="12.75">
      <c r="A137" s="1">
        <f>PSTable_Weeds!A66</f>
        <v>36</v>
      </c>
      <c r="B137" s="1">
        <f>NVTable_Weed!H72</f>
        <v>3</v>
      </c>
      <c r="C137">
        <f>PSTable_Weeds!B66</f>
        <v>5.625</v>
      </c>
      <c r="D137" s="52">
        <f>PSTable_Weeds!D66</f>
        <v>12.604930798554268</v>
      </c>
      <c r="E137" s="48">
        <f>PSTable_Weeds!J65</f>
        <v>7.2</v>
      </c>
      <c r="F137" s="48">
        <f>PSTable_Weeds!K65</f>
        <v>3.8</v>
      </c>
      <c r="G137" s="48">
        <f>PSTable_Weeds!L65</f>
        <v>1</v>
      </c>
      <c r="H137"/>
      <c r="I137"/>
    </row>
    <row r="138" spans="1:9" ht="12.75">
      <c r="A138" s="1">
        <f>PSTable_Weeds!A67</f>
        <v>37</v>
      </c>
      <c r="B138" s="1">
        <f>NVTable_Weed!H73</f>
        <v>3</v>
      </c>
      <c r="C138">
        <f>PSTable_Weeds!B67</f>
        <v>5.78125</v>
      </c>
      <c r="D138" s="52">
        <f>PSTable_Weeds!D67</f>
        <v>12.884143924291756</v>
      </c>
      <c r="E138" s="48">
        <f>PSTable_Weeds!J66</f>
        <v>7.2</v>
      </c>
      <c r="F138" s="48">
        <f>PSTable_Weeds!K66</f>
        <v>3.8</v>
      </c>
      <c r="G138" s="48">
        <f>PSTable_Weeds!L66</f>
        <v>1</v>
      </c>
      <c r="H138"/>
      <c r="I138"/>
    </row>
    <row r="139" spans="1:9" ht="12.75">
      <c r="A139" s="1">
        <f>PSTable_Weeds!A68</f>
        <v>38</v>
      </c>
      <c r="B139" s="1">
        <f>NVTable_Weed!H74</f>
        <v>3</v>
      </c>
      <c r="C139">
        <f>PSTable_Weeds!B68</f>
        <v>5.9375</v>
      </c>
      <c r="D139" s="52">
        <f>PSTable_Weeds!D68</f>
        <v>13.169541928854061</v>
      </c>
      <c r="E139" s="48">
        <f>PSTable_Weeds!J67</f>
        <v>7.2</v>
      </c>
      <c r="F139" s="48">
        <f>PSTable_Weeds!K67</f>
        <v>3.8</v>
      </c>
      <c r="G139" s="48">
        <f>PSTable_Weeds!L67</f>
        <v>1</v>
      </c>
      <c r="H139"/>
      <c r="I139"/>
    </row>
    <row r="140" spans="1:9" ht="12.75">
      <c r="A140" s="1">
        <f>PSTable_Weeds!A69</f>
        <v>39</v>
      </c>
      <c r="B140" s="1">
        <f>NVTable_Weed!H75</f>
        <v>3</v>
      </c>
      <c r="C140">
        <f>PSTable_Weeds!B69</f>
        <v>6.09375</v>
      </c>
      <c r="D140" s="52">
        <f>PSTable_Weeds!D69</f>
        <v>13.46126181413166</v>
      </c>
      <c r="E140" s="48">
        <f>PSTable_Weeds!J68</f>
        <v>7.2</v>
      </c>
      <c r="F140" s="48">
        <f>PSTable_Weeds!K68</f>
        <v>3.8</v>
      </c>
      <c r="G140" s="48">
        <f>PSTable_Weeds!L68</f>
        <v>1</v>
      </c>
      <c r="H140"/>
      <c r="I140"/>
    </row>
    <row r="141" spans="1:9" ht="12.75">
      <c r="A141" s="1">
        <f>PSTable_Weeds!A70</f>
        <v>40</v>
      </c>
      <c r="B141" s="1">
        <f>NVTable_Weed!H76</f>
        <v>3</v>
      </c>
      <c r="C141">
        <f>PSTable_Weeds!B70</f>
        <v>6.25</v>
      </c>
      <c r="D141" s="52">
        <f>PSTable_Weeds!D70</f>
        <v>13.75944361675811</v>
      </c>
      <c r="E141" s="48">
        <f>PSTable_Weeds!J69</f>
        <v>7.2</v>
      </c>
      <c r="F141" s="48">
        <f>PSTable_Weeds!K69</f>
        <v>3.8</v>
      </c>
      <c r="G141" s="48">
        <f>PSTable_Weeds!L69</f>
        <v>1</v>
      </c>
      <c r="H141"/>
      <c r="I141"/>
    </row>
    <row r="142" spans="1:9" ht="12.75">
      <c r="A142" s="1">
        <f>PSTable_Weeds!A71</f>
        <v>41</v>
      </c>
      <c r="B142" s="1">
        <f>NVTable_Weed!H77</f>
        <v>3</v>
      </c>
      <c r="C142">
        <f>PSTable_Weeds!B71</f>
        <v>6.40625</v>
      </c>
      <c r="D142" s="52">
        <f>PSTable_Weeds!D71</f>
        <v>14.06423047533289</v>
      </c>
      <c r="E142" s="48">
        <f>PSTable_Weeds!J70</f>
        <v>7.2</v>
      </c>
      <c r="F142" s="48">
        <f>PSTable_Weeds!K70</f>
        <v>3.8</v>
      </c>
      <c r="G142" s="48">
        <f>PSTable_Weeds!L70</f>
        <v>1</v>
      </c>
      <c r="H142"/>
      <c r="I142"/>
    </row>
    <row r="143" spans="1:9" ht="12.75">
      <c r="A143" s="1">
        <f>PSTable_Weeds!A72</f>
        <v>42</v>
      </c>
      <c r="B143" s="1">
        <f>NVTable_Weed!H78</f>
        <v>3</v>
      </c>
      <c r="C143">
        <f>PSTable_Weeds!B72</f>
        <v>6.5625</v>
      </c>
      <c r="D143" s="52">
        <f>PSTable_Weeds!D72</f>
        <v>14.375768699133422</v>
      </c>
      <c r="E143" s="48">
        <f>PSTable_Weeds!J71</f>
        <v>7.2</v>
      </c>
      <c r="F143" s="48">
        <f>PSTable_Weeds!K71</f>
        <v>3.8</v>
      </c>
      <c r="G143" s="48">
        <f>PSTable_Weeds!L71</f>
        <v>1</v>
      </c>
      <c r="H143"/>
      <c r="I143"/>
    </row>
    <row r="144" spans="1:9" ht="12.75">
      <c r="A144" s="1">
        <f>PSTable_Weeds!A73</f>
        <v>43</v>
      </c>
      <c r="B144" s="1">
        <f>NVTable_Weed!H79</f>
        <v>3</v>
      </c>
      <c r="C144">
        <f>PSTable_Weeds!B73</f>
        <v>6.71875</v>
      </c>
      <c r="D144" s="52">
        <f>PSTable_Weeds!D73</f>
        <v>14.694207838349058</v>
      </c>
      <c r="E144" s="48">
        <f>PSTable_Weeds!J72</f>
        <v>7.2</v>
      </c>
      <c r="F144" s="48">
        <f>PSTable_Weeds!K72</f>
        <v>3.8</v>
      </c>
      <c r="G144" s="48">
        <f>PSTable_Weeds!L72</f>
        <v>1</v>
      </c>
      <c r="H144"/>
      <c r="I144"/>
    </row>
    <row r="145" spans="1:9" ht="12.75">
      <c r="A145" s="1">
        <f>PSTable_Weeds!A74</f>
        <v>44</v>
      </c>
      <c r="B145" s="1">
        <f>NVTable_Weed!H80</f>
        <v>3</v>
      </c>
      <c r="C145">
        <f>PSTable_Weeds!B74</f>
        <v>6.875</v>
      </c>
      <c r="D145" s="52">
        <f>PSTable_Weeds!D74</f>
        <v>15.019700755870867</v>
      </c>
      <c r="E145" s="48">
        <f>PSTable_Weeds!J73</f>
        <v>7.2</v>
      </c>
      <c r="F145" s="48">
        <f>PSTable_Weeds!K73</f>
        <v>3.8</v>
      </c>
      <c r="G145" s="48">
        <f>PSTable_Weeds!L73</f>
        <v>1</v>
      </c>
      <c r="H145"/>
      <c r="I145"/>
    </row>
    <row r="146" spans="1:9" ht="12.75">
      <c r="A146" s="1">
        <f>PSTable_Weeds!A75</f>
        <v>45</v>
      </c>
      <c r="B146" s="1">
        <f>NVTable_Weed!H81</f>
        <v>3</v>
      </c>
      <c r="C146">
        <f>PSTable_Weeds!B75</f>
        <v>7.03125</v>
      </c>
      <c r="D146" s="52">
        <f>PSTable_Weeds!D75</f>
        <v>15.352403700671603</v>
      </c>
      <c r="E146" s="48">
        <f>PSTable_Weeds!J74</f>
        <v>7.2</v>
      </c>
      <c r="F146" s="48">
        <f>PSTable_Weeds!K74</f>
        <v>3.8</v>
      </c>
      <c r="G146" s="48">
        <f>PSTable_Weeds!L74</f>
        <v>1</v>
      </c>
      <c r="H146"/>
      <c r="I146"/>
    </row>
    <row r="147" spans="1:9" ht="12.75">
      <c r="A147" s="1">
        <f>PSTable_Weeds!A76</f>
        <v>46</v>
      </c>
      <c r="B147" s="1">
        <f>NVTable_Weed!H82</f>
        <v>3</v>
      </c>
      <c r="C147">
        <f>PSTable_Weeds!B76</f>
        <v>7.1875</v>
      </c>
      <c r="D147" s="52">
        <f>PSTable_Weeds!D76</f>
        <v>15.69247638281121</v>
      </c>
      <c r="E147" s="48">
        <f>PSTable_Weeds!J75</f>
        <v>7.2</v>
      </c>
      <c r="F147" s="48">
        <f>PSTable_Weeds!K75</f>
        <v>3.8</v>
      </c>
      <c r="G147" s="48">
        <f>PSTable_Weeds!L75</f>
        <v>1</v>
      </c>
      <c r="H147"/>
      <c r="I147"/>
    </row>
    <row r="148" spans="1:9" ht="12.75">
      <c r="A148" s="1">
        <f>PSTable_Weeds!A77</f>
        <v>47</v>
      </c>
      <c r="B148" s="1">
        <f>NVTable_Weed!H83</f>
        <v>3</v>
      </c>
      <c r="C148">
        <f>PSTable_Weeds!B77</f>
        <v>7.34375</v>
      </c>
      <c r="D148" s="52">
        <f>PSTable_Weeds!D77</f>
        <v>16.040082050103646</v>
      </c>
      <c r="E148" s="48">
        <f>PSTable_Weeds!J76</f>
        <v>7.2</v>
      </c>
      <c r="F148" s="48">
        <f>PSTable_Weeds!K76</f>
        <v>3.8</v>
      </c>
      <c r="G148" s="48">
        <f>PSTable_Weeds!L76</f>
        <v>1</v>
      </c>
      <c r="H148"/>
      <c r="I148"/>
    </row>
    <row r="149" spans="1:9" ht="12.75">
      <c r="A149" s="1">
        <f>PSTable_Weeds!A78</f>
        <v>48</v>
      </c>
      <c r="B149" s="1">
        <f>NVTable_Weed!H84</f>
        <v>3</v>
      </c>
      <c r="C149">
        <f>PSTable_Weeds!B78</f>
        <v>7.5</v>
      </c>
      <c r="D149" s="52">
        <f>PSTable_Weeds!D78</f>
        <v>16.395387566482132</v>
      </c>
      <c r="E149" s="48">
        <f>PSTable_Weeds!J77</f>
        <v>7.2</v>
      </c>
      <c r="F149" s="48">
        <f>PSTable_Weeds!K77</f>
        <v>3.8</v>
      </c>
      <c r="G149" s="48">
        <f>PSTable_Weeds!L77</f>
        <v>1</v>
      </c>
      <c r="H149"/>
      <c r="I149"/>
    </row>
    <row r="150" spans="1:9" ht="12.75">
      <c r="A150" s="1">
        <f>PSTable_Weeds!A79</f>
        <v>49</v>
      </c>
      <c r="B150" s="1">
        <f>NVTable_Weed!H85</f>
        <v>3</v>
      </c>
      <c r="C150">
        <f>PSTable_Weeds!B79</f>
        <v>7.65625</v>
      </c>
      <c r="D150" s="52">
        <f>PSTable_Weeds!D79</f>
        <v>16.75856349210008</v>
      </c>
      <c r="E150" s="48">
        <f>PSTable_Weeds!J78</f>
        <v>7.2</v>
      </c>
      <c r="F150" s="48">
        <f>PSTable_Weeds!K78</f>
        <v>3.8</v>
      </c>
      <c r="G150" s="48">
        <f>PSTable_Weeds!L78</f>
        <v>1</v>
      </c>
      <c r="H150"/>
      <c r="I150"/>
    </row>
    <row r="151" spans="1:9" ht="12.75">
      <c r="A151" s="1">
        <f>PSTable_Weeds!A80</f>
        <v>50</v>
      </c>
      <c r="B151" s="1">
        <f>NVTable_Weed!H86</f>
        <v>3</v>
      </c>
      <c r="C151">
        <f>PSTable_Weeds!B80</f>
        <v>7.8125</v>
      </c>
      <c r="D151" s="52">
        <f>PSTable_Weeds!D80</f>
        <v>17.129784165206537</v>
      </c>
      <c r="E151" s="48">
        <f>PSTable_Weeds!J79</f>
        <v>7.2</v>
      </c>
      <c r="F151" s="48">
        <f>PSTable_Weeds!K79</f>
        <v>3.8</v>
      </c>
      <c r="G151" s="48">
        <f>PSTable_Weeds!L79</f>
        <v>1</v>
      </c>
      <c r="H151"/>
      <c r="I151"/>
    </row>
    <row r="152" spans="1:9" ht="12.75">
      <c r="A152" s="1">
        <f>PSTable_Weeds!A81</f>
        <v>51</v>
      </c>
      <c r="B152" s="1">
        <f>NVTable_Weed!H87</f>
        <v>3</v>
      </c>
      <c r="C152">
        <f>PSTable_Weeds!B81</f>
        <v>7.96875</v>
      </c>
      <c r="D152" s="52">
        <f>PSTable_Weeds!D81</f>
        <v>17.509227785835105</v>
      </c>
      <c r="E152" s="48">
        <f>PSTable_Weeds!J80</f>
        <v>7.2</v>
      </c>
      <c r="F152" s="48">
        <f>PSTable_Weeds!K80</f>
        <v>3.8</v>
      </c>
      <c r="G152" s="48">
        <f>PSTable_Weeds!L80</f>
        <v>1</v>
      </c>
      <c r="H152"/>
      <c r="I152"/>
    </row>
    <row r="153" spans="1:9" ht="12.75">
      <c r="A153" s="1">
        <f>PSTable_Weeds!A82</f>
        <v>52</v>
      </c>
      <c r="B153" s="1">
        <f>NVTable_Weed!H88</f>
        <v>3</v>
      </c>
      <c r="C153">
        <f>PSTable_Weeds!B82</f>
        <v>8.125</v>
      </c>
      <c r="D153" s="52">
        <f>PSTable_Weeds!D82</f>
        <v>17.897076501346778</v>
      </c>
      <c r="E153" s="48">
        <f>PSTable_Weeds!J81</f>
        <v>7.2</v>
      </c>
      <c r="F153" s="48">
        <f>PSTable_Weeds!K81</f>
        <v>3.8</v>
      </c>
      <c r="G153" s="48">
        <f>PSTable_Weeds!L81</f>
        <v>1</v>
      </c>
      <c r="H153"/>
      <c r="I153"/>
    </row>
    <row r="154" spans="1:9" ht="12.75">
      <c r="A154" s="1">
        <f>PSTable_Weeds!A83</f>
        <v>53</v>
      </c>
      <c r="B154" s="1">
        <f>NVTable_Weed!H89</f>
        <v>3</v>
      </c>
      <c r="C154">
        <f>PSTable_Weeds!B83</f>
        <v>8.28125</v>
      </c>
      <c r="D154" s="52">
        <f>PSTable_Weeds!D83</f>
        <v>18.293516493867596</v>
      </c>
      <c r="E154" s="48">
        <f>PSTable_Weeds!J82</f>
        <v>7.2</v>
      </c>
      <c r="F154" s="48">
        <f>PSTable_Weeds!K82</f>
        <v>3.8</v>
      </c>
      <c r="G154" s="48">
        <f>PSTable_Weeds!L82</f>
        <v>1</v>
      </c>
      <c r="H154"/>
      <c r="I154"/>
    </row>
    <row r="155" spans="1:9" ht="12.75">
      <c r="A155" s="1">
        <f>PSTable_Weeds!A84</f>
        <v>54</v>
      </c>
      <c r="B155" s="1">
        <f>NVTable_Weed!H90</f>
        <v>3</v>
      </c>
      <c r="C155">
        <f>PSTable_Weeds!B84</f>
        <v>8.4375</v>
      </c>
      <c r="D155" s="52">
        <f>PSTable_Weeds!D84</f>
        <v>18.698738069663072</v>
      </c>
      <c r="E155" s="48">
        <f>PSTable_Weeds!J83</f>
        <v>7.2</v>
      </c>
      <c r="F155" s="48">
        <f>PSTable_Weeds!K83</f>
        <v>3.8</v>
      </c>
      <c r="G155" s="48">
        <f>PSTable_Weeds!L83</f>
        <v>1</v>
      </c>
      <c r="H155"/>
      <c r="I155"/>
    </row>
    <row r="156" spans="1:9" ht="12.75">
      <c r="A156" s="1">
        <f>PSTable_Weeds!A85</f>
        <v>55</v>
      </c>
      <c r="B156" s="1">
        <f>NVTable_Weed!H91</f>
        <v>3</v>
      </c>
      <c r="C156">
        <f>PSTable_Weeds!B85</f>
        <v>8.59375</v>
      </c>
      <c r="D156" s="52">
        <f>PSTable_Weeds!D85</f>
        <v>19.112935750492557</v>
      </c>
      <c r="E156" s="48">
        <f>PSTable_Weeds!J84</f>
        <v>7.2</v>
      </c>
      <c r="F156" s="48">
        <f>PSTable_Weeds!K84</f>
        <v>3.8</v>
      </c>
      <c r="G156" s="48">
        <f>PSTable_Weeds!L84</f>
        <v>1</v>
      </c>
      <c r="H156"/>
      <c r="I156"/>
    </row>
    <row r="157" spans="1:9" ht="12.75">
      <c r="A157" s="1">
        <f>PSTable_Weeds!A86</f>
        <v>56</v>
      </c>
      <c r="B157" s="1">
        <f>NVTable_Weed!H92</f>
        <v>3</v>
      </c>
      <c r="C157">
        <f>PSTable_Weeds!B86</f>
        <v>8.75</v>
      </c>
      <c r="D157" s="52">
        <f>PSTable_Weeds!D86</f>
        <v>19.53630836698698</v>
      </c>
      <c r="E157" s="48">
        <f>PSTable_Weeds!J85</f>
        <v>7.2</v>
      </c>
      <c r="F157" s="48">
        <f>PSTable_Weeds!K85</f>
        <v>3.8</v>
      </c>
      <c r="G157" s="48">
        <f>PSTable_Weeds!L85</f>
        <v>1</v>
      </c>
      <c r="H157"/>
      <c r="I157"/>
    </row>
    <row r="158" spans="1:9" ht="12.75">
      <c r="A158" s="1">
        <f>PSTable_Weeds!A87</f>
        <v>57</v>
      </c>
      <c r="B158" s="1">
        <f>NVTable_Weed!H93</f>
        <v>3</v>
      </c>
      <c r="C158">
        <f>PSTable_Weeds!B87</f>
        <v>8.90625</v>
      </c>
      <c r="D158" s="52">
        <f>PSTable_Weeds!D87</f>
        <v>19.969059154095127</v>
      </c>
      <c r="E158" s="48">
        <f>PSTable_Weeds!J86</f>
        <v>7.2</v>
      </c>
      <c r="F158" s="48">
        <f>PSTable_Weeds!K86</f>
        <v>3.8</v>
      </c>
      <c r="G158" s="48">
        <f>PSTable_Weeds!L86</f>
        <v>1</v>
      </c>
      <c r="H158"/>
      <c r="I158"/>
    </row>
    <row r="159" spans="1:9" ht="12.75">
      <c r="A159" s="1">
        <f>PSTable_Weeds!A88</f>
        <v>58</v>
      </c>
      <c r="B159" s="1">
        <f>NVTable_Weed!H94</f>
        <v>3</v>
      </c>
      <c r="C159">
        <f>PSTable_Weeds!B88</f>
        <v>9.0625</v>
      </c>
      <c r="D159" s="52">
        <f>PSTable_Weeds!D88</f>
        <v>20.411395848644162</v>
      </c>
      <c r="E159" s="48">
        <f>PSTable_Weeds!J87</f>
        <v>7.2</v>
      </c>
      <c r="F159" s="48">
        <f>PSTable_Weeds!K87</f>
        <v>3.8</v>
      </c>
      <c r="G159" s="48">
        <f>PSTable_Weeds!L87</f>
        <v>1</v>
      </c>
      <c r="H159"/>
      <c r="I159"/>
    </row>
    <row r="160" spans="1:9" ht="12.75">
      <c r="A160" s="1">
        <f>PSTable_Weeds!A89</f>
        <v>59</v>
      </c>
      <c r="B160" s="1">
        <f>NVTable_Weed!H95</f>
        <v>3</v>
      </c>
      <c r="C160">
        <f>PSTable_Weeds!B89</f>
        <v>9.21875</v>
      </c>
      <c r="D160" s="52">
        <f>PSTable_Weeds!D89</f>
        <v>20.863530789061194</v>
      </c>
      <c r="E160" s="48">
        <f>PSTable_Weeds!J88</f>
        <v>7.2</v>
      </c>
      <c r="F160" s="48">
        <f>PSTable_Weeds!K88</f>
        <v>3.8</v>
      </c>
      <c r="G160" s="48">
        <f>PSTable_Weeds!L88</f>
        <v>1</v>
      </c>
      <c r="H160"/>
      <c r="I160"/>
    </row>
    <row r="161" spans="1:9" ht="12.75">
      <c r="A161" s="1">
        <f>PSTable_Weeds!A90</f>
        <v>60</v>
      </c>
      <c r="B161" s="1">
        <f>NVTable_Weed!H96</f>
        <v>3</v>
      </c>
      <c r="C161">
        <f>PSTable_Weeds!B90</f>
        <v>9.375</v>
      </c>
      <c r="D161" s="52">
        <f>PSTable_Weeds!D90</f>
        <v>21.325681017303822</v>
      </c>
      <c r="E161" s="48">
        <f>PSTable_Weeds!J89</f>
        <v>7.2</v>
      </c>
      <c r="F161" s="48">
        <f>PSTable_Weeds!K89</f>
        <v>3.8</v>
      </c>
      <c r="G161" s="48">
        <f>PSTable_Weeds!L89</f>
        <v>1</v>
      </c>
      <c r="H161"/>
      <c r="I161"/>
    </row>
    <row r="162" spans="1:9" ht="12.75">
      <c r="A162" s="1">
        <f>PSTable_Weeds!A91</f>
        <v>61</v>
      </c>
      <c r="B162" s="1">
        <f>NVTable_Weed!H97</f>
        <v>3</v>
      </c>
      <c r="C162">
        <f>PSTable_Weeds!B91</f>
        <v>9.53125</v>
      </c>
      <c r="D162" s="52">
        <f>PSTable_Weeds!D91</f>
        <v>21.798068383048438</v>
      </c>
      <c r="E162" s="48">
        <f>PSTable_Weeds!J90</f>
        <v>7.2</v>
      </c>
      <c r="F162" s="48">
        <f>PSTable_Weeds!K90</f>
        <v>3.8</v>
      </c>
      <c r="G162" s="48">
        <f>PSTable_Weeds!L90</f>
        <v>1</v>
      </c>
      <c r="H162"/>
      <c r="I162"/>
    </row>
    <row r="163" spans="1:9" ht="12.75">
      <c r="A163" s="1">
        <f>PSTable_Weeds!A92</f>
        <v>62</v>
      </c>
      <c r="B163" s="1">
        <f>NVTable_Weed!H98</f>
        <v>3</v>
      </c>
      <c r="C163">
        <f>PSTable_Weeds!B92</f>
        <v>9.6875</v>
      </c>
      <c r="D163" s="52">
        <f>PSTable_Weeds!D92</f>
        <v>22.28091965018659</v>
      </c>
      <c r="E163" s="48">
        <f>PSTable_Weeds!J91</f>
        <v>7.2</v>
      </c>
      <c r="F163" s="48">
        <f>PSTable_Weeds!K91</f>
        <v>3.8</v>
      </c>
      <c r="G163" s="48">
        <f>PSTable_Weeds!L91</f>
        <v>1</v>
      </c>
      <c r="H163"/>
      <c r="I163"/>
    </row>
    <row r="164" spans="1:9" ht="12.75">
      <c r="A164" s="1">
        <f>PSTable_Weeds!A93</f>
        <v>63</v>
      </c>
      <c r="B164" s="1">
        <f>NVTable_Weed!H99</f>
        <v>3</v>
      </c>
      <c r="C164">
        <f>PSTable_Weeds!B93</f>
        <v>9.84375</v>
      </c>
      <c r="D164" s="52">
        <f>PSTable_Weeds!D93</f>
        <v>22.774466605680246</v>
      </c>
      <c r="E164" s="48">
        <f>PSTable_Weeds!J92</f>
        <v>7.2</v>
      </c>
      <c r="F164" s="48">
        <f>PSTable_Weeds!K92</f>
        <v>3.8</v>
      </c>
      <c r="G164" s="48">
        <f>PSTable_Weeds!L92</f>
        <v>1</v>
      </c>
      <c r="H164"/>
      <c r="I164"/>
    </row>
    <row r="165" spans="1:9" ht="12.75">
      <c r="A165" s="1">
        <f>PSTable_Weeds!A94</f>
        <v>64</v>
      </c>
      <c r="B165" s="1"/>
      <c r="C165">
        <f>PSTable_Weeds!B94</f>
        <v>10</v>
      </c>
      <c r="D165" s="52">
        <f>PSTable_Weeds!D94</f>
        <v>23.278946170828306</v>
      </c>
      <c r="E165" s="48">
        <f>PSTable_Weeds!J93</f>
        <v>7.2</v>
      </c>
      <c r="F165" s="48">
        <f>PSTable_Weeds!K93</f>
        <v>3.8</v>
      </c>
      <c r="G165" s="48">
        <f>PSTable_Weeds!L93</f>
        <v>1</v>
      </c>
      <c r="H165"/>
      <c r="I165"/>
    </row>
    <row r="166" spans="1:9" ht="12.75">
      <c r="A166" s="1">
        <f>PSTable_Weeds!A95</f>
        <v>65</v>
      </c>
      <c r="B166" s="1"/>
      <c r="C166">
        <f>PSTable_Weeds!B95</f>
        <v>10.15625</v>
      </c>
      <c r="D166" s="52">
        <f>PSTable_Weeds!D95</f>
        <v>23.794600514997928</v>
      </c>
      <c r="E166" s="48">
        <f>PSTable_Weeds!J94</f>
        <v>7.2</v>
      </c>
      <c r="F166" s="48">
        <f>PSTable_Weeds!K94</f>
        <v>3.8</v>
      </c>
      <c r="G166" s="48">
        <f>PSTable_Weeds!L94</f>
        <v>1</v>
      </c>
      <c r="H166"/>
      <c r="I166"/>
    </row>
    <row r="167" spans="1:9" ht="12.75">
      <c r="A167" s="1">
        <f>PSTable_Weeds!A96</f>
        <v>66</v>
      </c>
      <c r="B167" s="1"/>
      <c r="C167">
        <f>PSTable_Weeds!B96</f>
        <v>10.3125</v>
      </c>
      <c r="D167" s="52">
        <f>PSTable_Weeds!D96</f>
        <v>24.3216771718749</v>
      </c>
      <c r="E167" s="48">
        <f>PSTable_Weeds!J95</f>
        <v>7.2</v>
      </c>
      <c r="F167" s="48">
        <f>PSTable_Weeds!K95</f>
        <v>3.8</v>
      </c>
      <c r="G167" s="48">
        <f>PSTable_Weeds!L95</f>
        <v>1</v>
      </c>
      <c r="H167"/>
      <c r="I167"/>
    </row>
    <row r="168" spans="1:9" ht="12.75">
      <c r="A168" s="1">
        <f>PSTable_Weeds!A97</f>
        <v>67</v>
      </c>
      <c r="B168" s="1"/>
      <c r="C168">
        <f>PSTable_Weeds!B97</f>
        <v>10.46875</v>
      </c>
      <c r="D168" s="52">
        <f>PSTable_Weeds!D97</f>
        <v>24.860429158289335</v>
      </c>
      <c r="E168" s="48">
        <f>PSTable_Weeds!J96</f>
        <v>7.2</v>
      </c>
      <c r="F168" s="48">
        <f>PSTable_Weeds!K96</f>
        <v>3.8</v>
      </c>
      <c r="G168" s="48">
        <f>PSTable_Weeds!L96</f>
        <v>1</v>
      </c>
      <c r="H168"/>
      <c r="I168"/>
    </row>
    <row r="169" spans="1:9" ht="12.75">
      <c r="A169" s="1">
        <f>PSTable_Weeds!A98</f>
        <v>68</v>
      </c>
      <c r="B169" s="1"/>
      <c r="C169">
        <f>PSTable_Weeds!B98</f>
        <v>10.625</v>
      </c>
      <c r="D169" s="52">
        <f>PSTable_Weeds!D98</f>
        <v>25.41111509567327</v>
      </c>
      <c r="E169" s="48">
        <f>PSTable_Weeds!J97</f>
        <v>7.2</v>
      </c>
      <c r="F169" s="48">
        <f>PSTable_Weeds!K97</f>
        <v>3.8</v>
      </c>
      <c r="G169" s="48">
        <f>PSTable_Weeds!L97</f>
        <v>1</v>
      </c>
      <c r="H169"/>
      <c r="I169"/>
    </row>
    <row r="170" spans="1:9" ht="12.75">
      <c r="A170" s="1">
        <f>PSTable_Weeds!A99</f>
        <v>69</v>
      </c>
      <c r="B170" s="1"/>
      <c r="C170">
        <f>PSTable_Weeds!B99</f>
        <v>10.78125</v>
      </c>
      <c r="D170" s="52">
        <f>PSTable_Weeds!D99</f>
        <v>25.973999334208873</v>
      </c>
      <c r="E170" s="48">
        <f>PSTable_Weeds!J98</f>
        <v>7.2</v>
      </c>
      <c r="F170" s="48">
        <f>PSTable_Weeds!K98</f>
        <v>3.8</v>
      </c>
      <c r="G170" s="48">
        <f>PSTable_Weeds!L98</f>
        <v>1</v>
      </c>
      <c r="H170"/>
      <c r="I170"/>
    </row>
    <row r="171" spans="1:9" ht="12.75">
      <c r="A171" s="1">
        <f>PSTable_Weeds!A100</f>
        <v>70</v>
      </c>
      <c r="B171" s="1"/>
      <c r="C171">
        <f>PSTable_Weeds!B100</f>
        <v>10.9375</v>
      </c>
      <c r="D171" s="52">
        <f>PSTable_Weeds!D100</f>
        <v>26.549352079726514</v>
      </c>
      <c r="E171" s="48">
        <f>PSTable_Weeds!J99</f>
        <v>7.2</v>
      </c>
      <c r="F171" s="48">
        <f>PSTable_Weeds!K99</f>
        <v>3.8</v>
      </c>
      <c r="G171" s="48">
        <f>PSTable_Weeds!L99</f>
        <v>1</v>
      </c>
      <c r="H171"/>
      <c r="I171"/>
    </row>
    <row r="172" spans="1:9" ht="12.75">
      <c r="A172" s="1">
        <f>PSTable_Weeds!A101</f>
        <v>71</v>
      </c>
      <c r="B172" s="1"/>
      <c r="C172">
        <f>PSTable_Weeds!B101</f>
        <v>11.09375</v>
      </c>
      <c r="D172" s="52">
        <f>PSTable_Weeds!D101</f>
        <v>27.137449523413874</v>
      </c>
      <c r="E172" s="48">
        <f>PSTable_Weeds!J100</f>
        <v>7.2</v>
      </c>
      <c r="F172" s="48">
        <f>PSTable_Weeds!K100</f>
        <v>3.8</v>
      </c>
      <c r="G172" s="48">
        <f>PSTable_Weeds!L100</f>
        <v>1</v>
      </c>
      <c r="H172"/>
      <c r="I172"/>
    </row>
    <row r="173" spans="1:9" ht="12.75">
      <c r="A173" s="1">
        <f>PSTable_Weeds!A102</f>
        <v>72</v>
      </c>
      <c r="B173" s="1"/>
      <c r="C173">
        <f>PSTable_Weeds!B102</f>
        <v>11.25</v>
      </c>
      <c r="D173" s="52">
        <f>PSTable_Weeds!D102</f>
        <v>27.73857397439816</v>
      </c>
      <c r="E173" s="48">
        <f>PSTable_Weeds!J101</f>
        <v>7.2</v>
      </c>
      <c r="F173" s="48">
        <f>PSTable_Weeds!K101</f>
        <v>3.8</v>
      </c>
      <c r="G173" s="48">
        <f>PSTable_Weeds!L101</f>
        <v>1</v>
      </c>
      <c r="H173"/>
      <c r="I173"/>
    </row>
    <row r="174" spans="1:9" ht="12.75">
      <c r="A174" s="1">
        <f>PSTable_Weeds!A103</f>
        <v>73</v>
      </c>
      <c r="B174" s="1"/>
      <c r="C174">
        <f>PSTable_Weeds!B103</f>
        <v>11.40625</v>
      </c>
      <c r="D174" s="52">
        <f>PSTable_Weeds!D103</f>
        <v>28.353013995265304</v>
      </c>
      <c r="E174" s="48">
        <f>PSTable_Weeds!J102</f>
        <v>7.2</v>
      </c>
      <c r="F174" s="48">
        <f>PSTable_Weeds!K102</f>
        <v>3.8</v>
      </c>
      <c r="G174" s="48">
        <f>PSTable_Weeds!L102</f>
        <v>1</v>
      </c>
      <c r="H174"/>
      <c r="I174"/>
    </row>
    <row r="175" spans="1:9" ht="12.75">
      <c r="A175" s="1">
        <f>PSTable_Weeds!A104</f>
        <v>74</v>
      </c>
      <c r="B175" s="1"/>
      <c r="C175">
        <f>PSTable_Weeds!B104</f>
        <v>11.5625</v>
      </c>
      <c r="D175" s="52">
        <f>PSTable_Weeds!D104</f>
        <v>28.98106454058087</v>
      </c>
      <c r="E175" s="48">
        <f>PSTable_Weeds!J103</f>
        <v>7.2</v>
      </c>
      <c r="F175" s="48">
        <f>PSTable_Weeds!K103</f>
        <v>3.8</v>
      </c>
      <c r="G175" s="48">
        <f>PSTable_Weeds!L103</f>
        <v>1</v>
      </c>
      <c r="H175"/>
      <c r="I175"/>
    </row>
    <row r="176" spans="1:9" ht="12.75">
      <c r="A176" s="1">
        <f>PSTable_Weeds!A105</f>
        <v>75</v>
      </c>
      <c r="B176" s="1"/>
      <c r="C176">
        <f>PSTable_Weeds!B105</f>
        <v>11.71875</v>
      </c>
      <c r="D176" s="52">
        <f>PSTable_Weeds!D105</f>
        <v>29.62302709847954</v>
      </c>
      <c r="E176" s="48">
        <f>PSTable_Weeds!J104</f>
        <v>7.2</v>
      </c>
      <c r="F176" s="48">
        <f>PSTable_Weeds!K104</f>
        <v>3.8</v>
      </c>
      <c r="G176" s="48">
        <f>PSTable_Weeds!L104</f>
        <v>1</v>
      </c>
      <c r="H176"/>
      <c r="I176"/>
    </row>
    <row r="177" spans="1:9" ht="12.75">
      <c r="A177" s="1">
        <f>PSTable_Weeds!A106</f>
        <v>76</v>
      </c>
      <c r="B177" s="1"/>
      <c r="C177">
        <f>PSTable_Weeds!B106</f>
        <v>11.875</v>
      </c>
      <c r="D177" s="52">
        <f>PSTable_Weeds!D106</f>
        <v>30.279209835390848</v>
      </c>
      <c r="E177" s="48">
        <f>PSTable_Weeds!J105</f>
        <v>7.2</v>
      </c>
      <c r="F177" s="48">
        <f>PSTable_Weeds!K105</f>
        <v>3.8</v>
      </c>
      <c r="G177" s="48">
        <f>PSTable_Weeds!L105</f>
        <v>1</v>
      </c>
      <c r="H177"/>
      <c r="I177"/>
    </row>
    <row r="178" spans="1:9" ht="12.75">
      <c r="A178" s="1">
        <f>PSTable_Weeds!A107</f>
        <v>77</v>
      </c>
      <c r="B178" s="1"/>
      <c r="C178">
        <f>PSTable_Weeds!B107</f>
        <v>12.03125</v>
      </c>
      <c r="D178" s="52">
        <f>PSTable_Weeds!D107</f>
        <v>30.949927743970786</v>
      </c>
      <c r="E178" s="48">
        <f>PSTable_Weeds!J106</f>
        <v>7.2</v>
      </c>
      <c r="F178" s="48">
        <f>PSTable_Weeds!K106</f>
        <v>3.8</v>
      </c>
      <c r="G178" s="48">
        <f>PSTable_Weeds!L106</f>
        <v>1</v>
      </c>
      <c r="H178"/>
      <c r="I178"/>
    </row>
    <row r="179" spans="1:9" ht="12.75">
      <c r="A179" s="1">
        <f>PSTable_Weeds!A108</f>
        <v>78</v>
      </c>
      <c r="B179" s="1"/>
      <c r="C179">
        <f>PSTable_Weeds!B108</f>
        <v>12.1875</v>
      </c>
      <c r="D179" s="52">
        <f>PSTable_Weeds!D108</f>
        <v>31.6355027943102</v>
      </c>
      <c r="E179" s="48">
        <f>PSTable_Weeds!J107</f>
        <v>7.2</v>
      </c>
      <c r="F179" s="48">
        <f>PSTable_Weeds!K107</f>
        <v>3.8</v>
      </c>
      <c r="G179" s="48">
        <f>PSTable_Weeds!L107</f>
        <v>1</v>
      </c>
      <c r="H179"/>
      <c r="I179"/>
    </row>
    <row r="180" spans="1:9" ht="12.75">
      <c r="A180" s="1">
        <f>PSTable_Weeds!A109</f>
        <v>79</v>
      </c>
      <c r="B180" s="1"/>
      <c r="C180">
        <f>PSTable_Weeds!B109</f>
        <v>12.34375</v>
      </c>
      <c r="D180" s="52">
        <f>PSTable_Weeds!D109</f>
        <v>32.33626408849278</v>
      </c>
      <c r="E180" s="48">
        <f>PSTable_Weeds!J108</f>
        <v>7.2</v>
      </c>
      <c r="F180" s="48">
        <f>PSTable_Weeds!K108</f>
        <v>3.8</v>
      </c>
      <c r="G180" s="48">
        <f>PSTable_Weeds!L108</f>
        <v>1</v>
      </c>
      <c r="H180"/>
      <c r="I180"/>
    </row>
    <row r="181" spans="1:9" ht="12.75">
      <c r="A181" s="1">
        <f>PSTable_Weeds!A110</f>
        <v>80</v>
      </c>
      <c r="B181" s="1"/>
      <c r="C181">
        <f>PSTable_Weeds!B110</f>
        <v>12.5</v>
      </c>
      <c r="D181" s="52">
        <f>PSTable_Weeds!D110</f>
        <v>33.05254801857644</v>
      </c>
      <c r="E181" s="48">
        <f>PSTable_Weeds!J109</f>
        <v>7.2</v>
      </c>
      <c r="F181" s="48">
        <f>PSTable_Weeds!K109</f>
        <v>3.8</v>
      </c>
      <c r="G181" s="48">
        <f>PSTable_Weeds!L109</f>
        <v>1</v>
      </c>
      <c r="H181"/>
      <c r="I181"/>
    </row>
    <row r="182" spans="1:9" ht="12.75">
      <c r="A182" s="1">
        <f>PSTable_Weeds!A111</f>
        <v>81</v>
      </c>
      <c r="B182" s="1"/>
      <c r="C182">
        <f>PSTable_Weeds!B111</f>
        <v>12.65625</v>
      </c>
      <c r="D182" s="52">
        <f>PSTable_Weeds!D111</f>
        <v>33.78469842807445</v>
      </c>
      <c r="E182" s="48">
        <f>PSTable_Weeds!J110</f>
        <v>7.2</v>
      </c>
      <c r="F182" s="48">
        <f>PSTable_Weeds!K110</f>
        <v>3.8</v>
      </c>
      <c r="G182" s="48">
        <f>PSTable_Weeds!L110</f>
        <v>1</v>
      </c>
      <c r="H182"/>
      <c r="I182"/>
    </row>
    <row r="183" spans="1:9" ht="12.75">
      <c r="A183" s="1">
        <f>PSTable_Weeds!A112</f>
        <v>82</v>
      </c>
      <c r="B183" s="1"/>
      <c r="C183">
        <f>PSTable_Weeds!B112</f>
        <v>12.8125</v>
      </c>
      <c r="D183" s="52">
        <f>PSTable_Weeds!D112</f>
        <v>34.53306677701321</v>
      </c>
      <c r="E183" s="48">
        <f>PSTable_Weeds!J111</f>
        <v>7.2</v>
      </c>
      <c r="F183" s="48">
        <f>PSTable_Weeds!K111</f>
        <v>3.8</v>
      </c>
      <c r="G183" s="48">
        <f>PSTable_Weeds!L111</f>
        <v>1</v>
      </c>
      <c r="H183"/>
      <c r="I183"/>
    </row>
    <row r="184" spans="1:9" ht="12.75">
      <c r="A184" s="1">
        <f>PSTable_Weeds!A113</f>
        <v>83</v>
      </c>
      <c r="B184" s="1"/>
      <c r="C184">
        <f>PSTable_Weeds!B113</f>
        <v>12.96875</v>
      </c>
      <c r="D184" s="52">
        <f>PSTable_Weeds!D113</f>
        <v>35.298012310646556</v>
      </c>
      <c r="E184" s="48">
        <f>PSTable_Weeds!J112</f>
        <v>7.2</v>
      </c>
      <c r="F184" s="48">
        <f>PSTable_Weeds!K112</f>
        <v>3.8</v>
      </c>
      <c r="G184" s="48">
        <f>PSTable_Weeds!L112</f>
        <v>1</v>
      </c>
      <c r="H184"/>
      <c r="I184"/>
    </row>
    <row r="185" spans="1:9" ht="12.75">
      <c r="A185" s="1">
        <f>PSTable_Weeds!A114</f>
        <v>84</v>
      </c>
      <c r="B185" s="1"/>
      <c r="C185">
        <f>PSTable_Weeds!B114</f>
        <v>13.125</v>
      </c>
      <c r="D185" s="52">
        <f>PSTable_Weeds!D114</f>
        <v>36.07990223190712</v>
      </c>
      <c r="E185" s="48">
        <f>PSTable_Weeds!J113</f>
        <v>7.2</v>
      </c>
      <c r="F185" s="48">
        <f>PSTable_Weeds!K113</f>
        <v>3.8</v>
      </c>
      <c r="G185" s="48">
        <f>PSTable_Weeds!L113</f>
        <v>1</v>
      </c>
      <c r="H185"/>
      <c r="I185"/>
    </row>
    <row r="186" spans="1:9" ht="12.75">
      <c r="A186" s="1">
        <f>PSTable_Weeds!A115</f>
        <v>85</v>
      </c>
      <c r="B186" s="1"/>
      <c r="C186">
        <f>PSTable_Weeds!B115</f>
        <v>13.28125</v>
      </c>
      <c r="D186" s="52">
        <f>PSTable_Weeds!D115</f>
        <v>36.8791118776776</v>
      </c>
      <c r="E186" s="48">
        <f>PSTable_Weeds!J114</f>
        <v>7.2</v>
      </c>
      <c r="F186" s="48">
        <f>PSTable_Weeds!K114</f>
        <v>3.8</v>
      </c>
      <c r="G186" s="48">
        <f>PSTable_Weeds!L114</f>
        <v>1</v>
      </c>
      <c r="H186"/>
      <c r="I186"/>
    </row>
    <row r="187" spans="1:9" ht="12.75">
      <c r="A187" s="1">
        <f>PSTable_Weeds!A116</f>
        <v>86</v>
      </c>
      <c r="B187" s="1"/>
      <c r="C187">
        <f>PSTable_Weeds!B116</f>
        <v>13.4375</v>
      </c>
      <c r="D187" s="52">
        <f>PSTable_Weeds!D116</f>
        <v>37.69602489896687</v>
      </c>
      <c r="E187" s="48">
        <f>PSTable_Weeds!J115</f>
        <v>7.2</v>
      </c>
      <c r="F187" s="48">
        <f>PSTable_Weeds!K115</f>
        <v>3.8</v>
      </c>
      <c r="G187" s="48">
        <f>PSTable_Weeds!L115</f>
        <v>1</v>
      </c>
      <c r="H187"/>
      <c r="I187"/>
    </row>
    <row r="188" spans="1:9" ht="12.75">
      <c r="A188" s="1">
        <f>PSTable_Weeds!A117</f>
        <v>87</v>
      </c>
      <c r="B188" s="1"/>
      <c r="C188">
        <f>PSTable_Weeds!B117</f>
        <v>13.59375</v>
      </c>
      <c r="D188" s="52">
        <f>PSTable_Weeds!D117</f>
        <v>38.53103344507695</v>
      </c>
      <c r="E188" s="48">
        <f>PSTable_Weeds!J116</f>
        <v>7.2</v>
      </c>
      <c r="F188" s="48">
        <f>PSTable_Weeds!K116</f>
        <v>3.8</v>
      </c>
      <c r="G188" s="48">
        <f>PSTable_Weeds!L116</f>
        <v>1</v>
      </c>
      <c r="H188"/>
      <c r="I188"/>
    </row>
    <row r="189" spans="1:9" ht="12.75">
      <c r="A189" s="1">
        <f>PSTable_Weeds!A118</f>
        <v>88</v>
      </c>
      <c r="B189" s="1"/>
      <c r="C189">
        <f>PSTable_Weeds!B118</f>
        <v>13.75</v>
      </c>
      <c r="D189" s="52">
        <f>PSTable_Weeds!D118</f>
        <v>39.38453835184963</v>
      </c>
      <c r="E189" s="48">
        <f>PSTable_Weeds!J117</f>
        <v>7.2</v>
      </c>
      <c r="F189" s="48">
        <f>PSTable_Weeds!K117</f>
        <v>3.8</v>
      </c>
      <c r="G189" s="48">
        <f>PSTable_Weeds!L117</f>
        <v>1</v>
      </c>
      <c r="H189"/>
      <c r="I189"/>
    </row>
    <row r="190" spans="1:9" ht="12.75">
      <c r="A190" s="1">
        <f>PSTable_Weeds!A119</f>
        <v>89</v>
      </c>
      <c r="B190" s="1"/>
      <c r="C190">
        <f>PSTable_Weeds!B119</f>
        <v>13.90625</v>
      </c>
      <c r="D190" s="52">
        <f>PSTable_Weeds!D119</f>
        <v>40.25694933408282</v>
      </c>
      <c r="E190" s="48">
        <f>PSTable_Weeds!J118</f>
        <v>7.2</v>
      </c>
      <c r="F190" s="48">
        <f>PSTable_Weeds!K118</f>
        <v>3.8</v>
      </c>
      <c r="G190" s="48">
        <f>PSTable_Weeds!L118</f>
        <v>1</v>
      </c>
      <c r="H190"/>
      <c r="I190"/>
    </row>
    <row r="191" spans="1:9" ht="12.75">
      <c r="A191" s="1">
        <f>PSTable_Weeds!A120</f>
        <v>90</v>
      </c>
      <c r="B191" s="1"/>
      <c r="C191">
        <f>PSTable_Weeds!B120</f>
        <v>14.0625</v>
      </c>
      <c r="D191" s="52">
        <f>PSTable_Weeds!D120</f>
        <v>41.148685182209384</v>
      </c>
      <c r="E191" s="48">
        <f>PSTable_Weeds!J119</f>
        <v>7.2</v>
      </c>
      <c r="F191" s="48">
        <f>PSTable_Weeds!K119</f>
        <v>3.8</v>
      </c>
      <c r="G191" s="48">
        <f>PSTable_Weeds!L119</f>
        <v>1</v>
      </c>
      <c r="H191"/>
      <c r="I191"/>
    </row>
    <row r="192" spans="1:9" ht="12.75">
      <c r="A192" s="1">
        <f>PSTable_Weeds!A121</f>
        <v>91</v>
      </c>
      <c r="B192" s="1"/>
      <c r="C192">
        <f>PSTable_Weeds!B121</f>
        <v>14.21875</v>
      </c>
      <c r="D192" s="52">
        <f>PSTable_Weeds!D121</f>
        <v>42.06017396333227</v>
      </c>
      <c r="E192" s="48">
        <f>PSTable_Weeds!J120</f>
        <v>7.2</v>
      </c>
      <c r="F192" s="48">
        <f>PSTable_Weeds!K120</f>
        <v>3.8</v>
      </c>
      <c r="G192" s="48">
        <f>PSTable_Weeds!L120</f>
        <v>1</v>
      </c>
      <c r="H192"/>
      <c r="I192"/>
    </row>
    <row r="193" spans="1:9" ht="12.75">
      <c r="A193" s="1">
        <f>PSTable_Weeds!A122</f>
        <v>92</v>
      </c>
      <c r="B193" s="1"/>
      <c r="C193">
        <f>PSTable_Weeds!B122</f>
        <v>14.375</v>
      </c>
      <c r="D193" s="52">
        <f>PSTable_Weeds!D122</f>
        <v>42.99185322671323</v>
      </c>
      <c r="E193" s="48">
        <f>PSTable_Weeds!J121</f>
        <v>7.2</v>
      </c>
      <c r="F193" s="48">
        <f>PSTable_Weeds!K121</f>
        <v>3.8</v>
      </c>
      <c r="G193" s="48">
        <f>PSTable_Weeds!L121</f>
        <v>1</v>
      </c>
      <c r="H193"/>
      <c r="I193"/>
    </row>
    <row r="194" spans="1:9" ht="12.75">
      <c r="A194" s="1">
        <f>PSTable_Weeds!A123</f>
        <v>93</v>
      </c>
      <c r="B194" s="1"/>
      <c r="C194">
        <f>PSTable_Weeds!B123</f>
        <v>14.53125</v>
      </c>
      <c r="D194" s="52">
        <f>PSTable_Weeds!D123</f>
        <v>43.94417021381283</v>
      </c>
      <c r="E194" s="48">
        <f>PSTable_Weeds!J122</f>
        <v>7.2</v>
      </c>
      <c r="F194" s="48">
        <f>PSTable_Weeds!K122</f>
        <v>3.8</v>
      </c>
      <c r="G194" s="48">
        <f>PSTable_Weeds!L122</f>
        <v>1</v>
      </c>
      <c r="H194"/>
      <c r="I194"/>
    </row>
    <row r="195" spans="1:9" ht="12.75">
      <c r="A195" s="1">
        <f>PSTable_Weeds!A124</f>
        <v>94</v>
      </c>
      <c r="B195" s="1"/>
      <c r="C195">
        <f>PSTable_Weeds!B124</f>
        <v>14.6875</v>
      </c>
      <c r="D195" s="52">
        <f>PSTable_Weeds!D124</f>
        <v>44.91758207298359</v>
      </c>
      <c r="E195" s="48">
        <f>PSTable_Weeds!J123</f>
        <v>7.2</v>
      </c>
      <c r="F195" s="48">
        <f>PSTable_Weeds!K123</f>
        <v>3.8</v>
      </c>
      <c r="G195" s="48">
        <f>PSTable_Weeds!L123</f>
        <v>1</v>
      </c>
      <c r="H195"/>
      <c r="I195"/>
    </row>
    <row r="196" spans="1:9" ht="12.75">
      <c r="A196" s="1">
        <f>PSTable_Weeds!A125</f>
        <v>95</v>
      </c>
      <c r="B196" s="1"/>
      <c r="C196">
        <f>PSTable_Weeds!B125</f>
        <v>14.84375</v>
      </c>
      <c r="D196" s="52">
        <f>PSTable_Weeds!D125</f>
        <v>45.91255607891837</v>
      </c>
      <c r="E196" s="48">
        <f>PSTable_Weeds!J124</f>
        <v>7.2</v>
      </c>
      <c r="F196" s="48">
        <f>PSTable_Weeds!K124</f>
        <v>3.8</v>
      </c>
      <c r="G196" s="48">
        <f>PSTable_Weeds!L124</f>
        <v>1</v>
      </c>
      <c r="H196"/>
      <c r="I196"/>
    </row>
    <row r="197" spans="1:9" ht="12.75">
      <c r="A197" s="1">
        <f>PSTable_Weeds!A126</f>
        <v>96</v>
      </c>
      <c r="B197" s="1"/>
      <c r="C197">
        <f>PSTable_Weeds!B126</f>
        <v>15</v>
      </c>
      <c r="D197" s="52">
        <f>PSTable_Weeds!D126</f>
        <v>46.92956985696014</v>
      </c>
      <c r="E197" s="48">
        <f>PSTable_Weeds!J125</f>
        <v>7.2</v>
      </c>
      <c r="F197" s="48">
        <f>PSTable_Weeds!K125</f>
        <v>3.8</v>
      </c>
      <c r="G197" s="48">
        <f>PSTable_Weeds!L125</f>
        <v>1</v>
      </c>
      <c r="H197"/>
      <c r="I197"/>
    </row>
    <row r="198" spans="1:9" ht="12.75">
      <c r="A198" s="1">
        <f>PSTable_Weeds!A127</f>
        <v>97</v>
      </c>
      <c r="B198" s="1"/>
      <c r="C198">
        <f>PSTable_Weeds!B127</f>
        <v>15.15625</v>
      </c>
      <c r="D198" s="52">
        <f>PSTable_Weeds!D127</f>
        <v>47.96911161238024</v>
      </c>
      <c r="E198" s="48">
        <f>PSTable_Weeds!J126</f>
        <v>7.2</v>
      </c>
      <c r="F198" s="48">
        <f>PSTable_Weeds!K126</f>
        <v>3.8</v>
      </c>
      <c r="G198" s="48">
        <f>PSTable_Weeds!L126</f>
        <v>1</v>
      </c>
      <c r="H198"/>
      <c r="I198"/>
    </row>
    <row r="199" spans="1:9" ht="12.75">
      <c r="A199" s="1">
        <f>PSTable_Weeds!A128</f>
        <v>98</v>
      </c>
      <c r="B199" s="1"/>
      <c r="C199">
        <f>PSTable_Weeds!B128</f>
        <v>15.3125</v>
      </c>
      <c r="D199" s="52">
        <f>PSTable_Weeds!D128</f>
        <v>49.03168036473546</v>
      </c>
      <c r="E199" s="48">
        <f>PSTable_Weeds!J127</f>
        <v>7.2</v>
      </c>
      <c r="F199" s="48">
        <f>PSTable_Weeds!K127</f>
        <v>3.8</v>
      </c>
      <c r="G199" s="48">
        <f>PSTable_Weeds!L127</f>
        <v>1</v>
      </c>
      <c r="H199"/>
      <c r="I199"/>
    </row>
    <row r="200" spans="1:9" ht="12.75">
      <c r="A200" s="1">
        <f>PSTable_Weeds!A129</f>
        <v>99</v>
      </c>
      <c r="B200" s="1"/>
      <c r="C200">
        <f>PSTable_Weeds!B129</f>
        <v>15.46875</v>
      </c>
      <c r="D200" s="52">
        <f>PSTable_Weeds!D129</f>
        <v>50.11778618741636</v>
      </c>
      <c r="E200" s="48">
        <f>PSTable_Weeds!J128</f>
        <v>7.2</v>
      </c>
      <c r="F200" s="48">
        <f>PSTable_Weeds!K128</f>
        <v>3.8</v>
      </c>
      <c r="G200" s="48">
        <f>PSTable_Weeds!L128</f>
        <v>1</v>
      </c>
      <c r="H200"/>
      <c r="I200"/>
    </row>
    <row r="201" spans="1:9" ht="12.75">
      <c r="A201" s="1">
        <f>PSTable_Weeds!A130</f>
        <v>100</v>
      </c>
      <c r="B201" s="1"/>
      <c r="C201">
        <f>PSTable_Weeds!B130</f>
        <v>15.625</v>
      </c>
      <c r="D201" s="52">
        <f>PSTable_Weeds!D130</f>
        <v>51.227950452501986</v>
      </c>
      <c r="E201" s="48">
        <f>PSTable_Weeds!J129</f>
        <v>7.2</v>
      </c>
      <c r="F201" s="48">
        <f>PSTable_Weeds!K129</f>
        <v>3.8</v>
      </c>
      <c r="G201" s="48">
        <f>PSTable_Weeds!L129</f>
        <v>1</v>
      </c>
      <c r="H201"/>
      <c r="I201"/>
    </row>
    <row r="202" spans="1:9" ht="12.75">
      <c r="A202" s="1">
        <f>PSTable_Weeds!A131</f>
        <v>101</v>
      </c>
      <c r="B202" s="1"/>
      <c r="C202">
        <f>PSTable_Weeds!B131</f>
        <v>15.78125</v>
      </c>
      <c r="D202" s="52">
        <f>PSTable_Weeds!D131</f>
        <v>52.3627060810382</v>
      </c>
      <c r="E202" s="48">
        <f>PSTable_Weeds!J130</f>
        <v>7.2</v>
      </c>
      <c r="F202" s="48">
        <f>PSTable_Weeds!K130</f>
        <v>3.8</v>
      </c>
      <c r="G202" s="48">
        <f>PSTable_Weeds!L130</f>
        <v>1</v>
      </c>
      <c r="H202"/>
      <c r="I202"/>
    </row>
    <row r="203" spans="1:9" ht="12.75">
      <c r="A203" s="1">
        <f>PSTable_Weeds!A132</f>
        <v>102</v>
      </c>
      <c r="B203" s="1"/>
      <c r="C203">
        <f>PSTable_Weeds!B132</f>
        <v>15.9375</v>
      </c>
      <c r="D203" s="52">
        <f>PSTable_Weeds!D132</f>
        <v>53.52259779886</v>
      </c>
      <c r="E203" s="48">
        <f>PSTable_Weeds!J131</f>
        <v>7.2</v>
      </c>
      <c r="F203" s="48">
        <f>PSTable_Weeds!K131</f>
        <v>3.8</v>
      </c>
      <c r="G203" s="48">
        <f>PSTable_Weeds!L131</f>
        <v>1</v>
      </c>
      <c r="H203"/>
      <c r="I203"/>
    </row>
    <row r="204" spans="1:9" ht="12.75">
      <c r="A204" s="1">
        <f>PSTable_Weeds!A133</f>
        <v>103</v>
      </c>
      <c r="B204" s="1"/>
      <c r="C204">
        <f>PSTable_Weeds!B133</f>
        <v>16.09375</v>
      </c>
      <c r="D204" s="52">
        <f>PSTable_Weeds!D133</f>
        <v>54.70818239808087</v>
      </c>
      <c r="E204" s="48">
        <f>PSTable_Weeds!J132</f>
        <v>7.2</v>
      </c>
      <c r="F204" s="48">
        <f>PSTable_Weeds!K132</f>
        <v>3.8</v>
      </c>
      <c r="G204" s="48">
        <f>PSTable_Weeds!L132</f>
        <v>1</v>
      </c>
      <c r="H204"/>
      <c r="I204"/>
    </row>
    <row r="205" spans="1:9" ht="12.75">
      <c r="A205" s="1">
        <f>PSTable_Weeds!A134</f>
        <v>104</v>
      </c>
      <c r="B205" s="1"/>
      <c r="C205">
        <f>PSTable_Weeds!B134</f>
        <v>16.25</v>
      </c>
      <c r="D205" s="52">
        <f>PSTable_Weeds!D134</f>
        <v>55.920029004373795</v>
      </c>
      <c r="E205" s="48">
        <f>PSTable_Weeds!J133</f>
        <v>7.2</v>
      </c>
      <c r="F205" s="48">
        <f>PSTable_Weeds!K133</f>
        <v>3.8</v>
      </c>
      <c r="G205" s="48">
        <f>PSTable_Weeds!L133</f>
        <v>1</v>
      </c>
      <c r="H205"/>
      <c r="I205"/>
    </row>
    <row r="206" spans="1:9" ht="12.75">
      <c r="A206" s="1">
        <f>PSTable_Weeds!A135</f>
        <v>105</v>
      </c>
      <c r="B206" s="1"/>
      <c r="C206">
        <f>PSTable_Weeds!B135</f>
        <v>16.40625</v>
      </c>
      <c r="D206" s="52">
        <f>PSTable_Weeds!D135</f>
        <v>57.1587193501735</v>
      </c>
      <c r="E206" s="48">
        <f>PSTable_Weeds!J134</f>
        <v>7.2</v>
      </c>
      <c r="F206" s="48">
        <f>PSTable_Weeds!K134</f>
        <v>3.8</v>
      </c>
      <c r="G206" s="48">
        <f>PSTable_Weeds!L134</f>
        <v>1</v>
      </c>
      <c r="H206"/>
      <c r="I206"/>
    </row>
    <row r="207" spans="1:9" ht="12.75">
      <c r="A207" s="1">
        <f>PSTable_Weeds!A136</f>
        <v>106</v>
      </c>
      <c r="B207" s="1"/>
      <c r="C207">
        <f>PSTable_Weeds!B136</f>
        <v>16.5625</v>
      </c>
      <c r="D207" s="52">
        <f>PSTable_Weeds!D136</f>
        <v>58.42484805393007</v>
      </c>
      <c r="E207" s="48">
        <f>PSTable_Weeds!J135</f>
        <v>7.2</v>
      </c>
      <c r="F207" s="48">
        <f>PSTable_Weeds!K135</f>
        <v>3.8</v>
      </c>
      <c r="G207" s="48">
        <f>PSTable_Weeds!L135</f>
        <v>1</v>
      </c>
      <c r="H207"/>
      <c r="I207"/>
    </row>
    <row r="208" spans="1:9" ht="12.75">
      <c r="A208" s="1">
        <f>PSTable_Weeds!A137</f>
        <v>107</v>
      </c>
      <c r="B208" s="1"/>
      <c r="C208">
        <f>PSTable_Weeds!B137</f>
        <v>16.71875</v>
      </c>
      <c r="D208" s="52">
        <f>PSTable_Weeds!D137</f>
        <v>59.719022905548165</v>
      </c>
      <c r="E208" s="48">
        <f>PSTable_Weeds!J136</f>
        <v>7.2</v>
      </c>
      <c r="F208" s="48">
        <f>PSTable_Weeds!K136</f>
        <v>3.8</v>
      </c>
      <c r="G208" s="48">
        <f>PSTable_Weeds!L136</f>
        <v>1</v>
      </c>
      <c r="H208"/>
      <c r="I208"/>
    </row>
    <row r="209" spans="1:9" ht="12.75">
      <c r="A209" s="1">
        <f>PSTable_Weeds!A138</f>
        <v>108</v>
      </c>
      <c r="B209" s="1"/>
      <c r="C209">
        <f>PSTable_Weeds!B138</f>
        <v>16.875</v>
      </c>
      <c r="D209" s="52">
        <f>PSTable_Weeds!D138</f>
        <v>61.04186515814985</v>
      </c>
      <c r="E209" s="48">
        <f>PSTable_Weeds!J137</f>
        <v>7.2</v>
      </c>
      <c r="F209" s="48">
        <f>PSTable_Weeds!K137</f>
        <v>3.8</v>
      </c>
      <c r="G209" s="48">
        <f>PSTable_Weeds!L137</f>
        <v>1</v>
      </c>
      <c r="H209"/>
      <c r="I209"/>
    </row>
    <row r="210" spans="1:9" ht="12.75">
      <c r="A210" s="1">
        <f>PSTable_Weeds!A139</f>
        <v>109</v>
      </c>
      <c r="B210" s="1"/>
      <c r="C210">
        <f>PSTable_Weeds!B139</f>
        <v>17.03125</v>
      </c>
      <c r="D210" s="52">
        <f>PSTable_Weeds!D139</f>
        <v>62.39400982629896</v>
      </c>
      <c r="E210" s="48">
        <f>PSTable_Weeds!J138</f>
        <v>7.2</v>
      </c>
      <c r="F210" s="48">
        <f>PSTable_Weeds!K138</f>
        <v>3.8</v>
      </c>
      <c r="G210" s="48">
        <f>PSTable_Weeds!L138</f>
        <v>1</v>
      </c>
      <c r="H210"/>
      <c r="I210"/>
    </row>
    <row r="211" spans="1:9" ht="12.75">
      <c r="A211" s="1">
        <f>PSTable_Weeds!A140</f>
        <v>110</v>
      </c>
      <c r="B211" s="1"/>
      <c r="C211">
        <f>PSTable_Weeds!B140</f>
        <v>17.1875</v>
      </c>
      <c r="D211" s="52">
        <f>PSTable_Weeds!D140</f>
        <v>63.776105990832846</v>
      </c>
      <c r="E211" s="48">
        <f>PSTable_Weeds!J139</f>
        <v>7.2</v>
      </c>
      <c r="F211" s="48">
        <f>PSTable_Weeds!K139</f>
        <v>3.8</v>
      </c>
      <c r="G211" s="48">
        <f>PSTable_Weeds!L139</f>
        <v>1</v>
      </c>
      <c r="H211"/>
      <c r="I211"/>
    </row>
    <row r="212" spans="1:9" ht="12.75">
      <c r="A212" s="1">
        <f>PSTable_Weeds!A141</f>
        <v>111</v>
      </c>
      <c r="B212" s="1"/>
      <c r="C212">
        <f>PSTable_Weeds!B141</f>
        <v>17.34375</v>
      </c>
      <c r="D212" s="52">
        <f>PSTable_Weeds!D141</f>
        <v>65.18881711044554</v>
      </c>
      <c r="E212" s="48">
        <f>PSTable_Weeds!J140</f>
        <v>7.2</v>
      </c>
      <c r="F212" s="48">
        <f>PSTable_Weeds!K140</f>
        <v>3.8</v>
      </c>
      <c r="G212" s="48">
        <f>PSTable_Weeds!L140</f>
        <v>1</v>
      </c>
      <c r="H212"/>
      <c r="I212"/>
    </row>
    <row r="213" spans="1:9" ht="12.75">
      <c r="A213" s="1">
        <f>PSTable_Weeds!A142</f>
        <v>112</v>
      </c>
      <c r="B213" s="1"/>
      <c r="C213">
        <f>PSTable_Weeds!B142</f>
        <v>17.5</v>
      </c>
      <c r="D213" s="52">
        <f>PSTable_Weeds!D142</f>
        <v>66.63282134017325</v>
      </c>
      <c r="E213" s="48">
        <f>PSTable_Weeds!J141</f>
        <v>7.2</v>
      </c>
      <c r="F213" s="48">
        <f>PSTable_Weeds!K141</f>
        <v>3.8</v>
      </c>
      <c r="G213" s="48">
        <f>PSTable_Weeds!L141</f>
        <v>1</v>
      </c>
      <c r="H213"/>
      <c r="I213"/>
    </row>
    <row r="214" spans="1:9" ht="12.75">
      <c r="A214" s="1">
        <f>PSTable_Weeds!A143</f>
        <v>113</v>
      </c>
      <c r="B214" s="1"/>
      <c r="C214">
        <f>PSTable_Weeds!B143</f>
        <v>17.65625</v>
      </c>
      <c r="D214" s="52">
        <f>PSTable_Weeds!D143</f>
        <v>68.1088118569345</v>
      </c>
      <c r="E214" s="48">
        <f>PSTable_Weeds!J142</f>
        <v>7.2</v>
      </c>
      <c r="F214" s="48">
        <f>PSTable_Weeds!K142</f>
        <v>3.8</v>
      </c>
      <c r="G214" s="48">
        <f>PSTable_Weeds!L142</f>
        <v>1</v>
      </c>
      <c r="H214"/>
      <c r="I214"/>
    </row>
    <row r="215" spans="1:9" ht="12.75">
      <c r="A215" s="1">
        <f>PSTable_Weeds!A144</f>
        <v>114</v>
      </c>
      <c r="B215" s="1"/>
      <c r="C215">
        <f>PSTable_Weeds!B144</f>
        <v>17.8125</v>
      </c>
      <c r="D215" s="52">
        <f>PSTable_Weeds!D144</f>
        <v>69.61749719228148</v>
      </c>
      <c r="E215" s="48">
        <f>PSTable_Weeds!J143</f>
        <v>7.2</v>
      </c>
      <c r="F215" s="48">
        <f>PSTable_Weeds!K143</f>
        <v>3.8</v>
      </c>
      <c r="G215" s="48">
        <f>PSTable_Weeds!L143</f>
        <v>1</v>
      </c>
      <c r="H215"/>
      <c r="I215"/>
    </row>
    <row r="216" spans="1:9" ht="12.75">
      <c r="A216" s="1">
        <f>PSTable_Weeds!A145</f>
        <v>115</v>
      </c>
      <c r="B216" s="1"/>
      <c r="C216">
        <f>PSTable_Weeds!B145</f>
        <v>17.96875</v>
      </c>
      <c r="D216" s="52">
        <f>PSTable_Weeds!D145</f>
        <v>71.15960157252191</v>
      </c>
      <c r="E216" s="48">
        <f>PSTable_Weeds!J144</f>
        <v>7.2</v>
      </c>
      <c r="F216" s="48">
        <f>PSTable_Weeds!K144</f>
        <v>3.8</v>
      </c>
      <c r="G216" s="48">
        <f>PSTable_Weeds!L144</f>
        <v>1</v>
      </c>
      <c r="H216"/>
      <c r="I216"/>
    </row>
    <row r="217" spans="1:9" ht="12.75">
      <c r="A217" s="1">
        <f>PSTable_Weeds!A146</f>
        <v>116</v>
      </c>
      <c r="B217" s="1"/>
      <c r="C217">
        <f>PSTable_Weeds!B146</f>
        <v>18.125</v>
      </c>
      <c r="D217" s="52">
        <f>PSTable_Weeds!D146</f>
        <v>72.73586526637554</v>
      </c>
      <c r="E217" s="48">
        <f>PSTable_Weeds!J145</f>
        <v>7.2</v>
      </c>
      <c r="F217" s="48">
        <f>PSTable_Weeds!K145</f>
        <v>3.8</v>
      </c>
      <c r="G217" s="48">
        <f>PSTable_Weeds!L145</f>
        <v>1</v>
      </c>
      <c r="H217"/>
      <c r="I217"/>
    </row>
    <row r="218" spans="1:9" ht="12.75">
      <c r="A218" s="1">
        <f>PSTable_Weeds!A147</f>
        <v>117</v>
      </c>
      <c r="B218" s="1"/>
      <c r="C218">
        <f>PSTable_Weeds!B147</f>
        <v>18.28125</v>
      </c>
      <c r="D218" s="52">
        <f>PSTable_Weeds!D147</f>
        <v>74.34704494033102</v>
      </c>
      <c r="E218" s="48">
        <f>PSTable_Weeds!J146</f>
        <v>7.2</v>
      </c>
      <c r="F218" s="48">
        <f>PSTable_Weeds!K146</f>
        <v>3.8</v>
      </c>
      <c r="G218" s="48">
        <f>PSTable_Weeds!L146</f>
        <v>1</v>
      </c>
      <c r="H218"/>
      <c r="I218"/>
    </row>
    <row r="219" spans="1:9" ht="12.75">
      <c r="A219" s="1">
        <f>PSTable_Weeds!A148</f>
        <v>118</v>
      </c>
      <c r="B219" s="1"/>
      <c r="C219">
        <f>PSTable_Weeds!B148</f>
        <v>18.4375</v>
      </c>
      <c r="D219" s="52">
        <f>PSTable_Weeds!D148</f>
        <v>75.99391402187463</v>
      </c>
      <c r="E219" s="48">
        <f>PSTable_Weeds!J147</f>
        <v>7.2</v>
      </c>
      <c r="F219" s="48">
        <f>PSTable_Weeds!K147</f>
        <v>3.8</v>
      </c>
      <c r="G219" s="48">
        <f>PSTable_Weeds!L147</f>
        <v>1</v>
      </c>
      <c r="H219"/>
      <c r="I219"/>
    </row>
    <row r="220" spans="1:9" ht="12.75">
      <c r="A220" s="1">
        <f>PSTable_Weeds!A149</f>
        <v>119</v>
      </c>
      <c r="B220" s="1"/>
      <c r="C220">
        <f>PSTable_Weeds!B149</f>
        <v>18.59375</v>
      </c>
      <c r="D220" s="52">
        <f>PSTable_Weeds!D149</f>
        <v>77.6772630707649</v>
      </c>
      <c r="E220" s="48">
        <f>PSTable_Weeds!J148</f>
        <v>7.2</v>
      </c>
      <c r="F220" s="48">
        <f>PSTable_Weeds!K148</f>
        <v>3.8</v>
      </c>
      <c r="G220" s="48">
        <f>PSTable_Weeds!L148</f>
        <v>1</v>
      </c>
      <c r="H220"/>
      <c r="I220"/>
    </row>
    <row r="221" spans="1:9" ht="12.75">
      <c r="A221" s="1">
        <f>PSTable_Weeds!A150</f>
        <v>120</v>
      </c>
      <c r="B221" s="1"/>
      <c r="C221">
        <f>PSTable_Weeds!B150</f>
        <v>18.75</v>
      </c>
      <c r="D221" s="52">
        <f>PSTable_Weeds!D150</f>
        <v>79.39790015853141</v>
      </c>
      <c r="E221" s="48">
        <f>PSTable_Weeds!J149</f>
        <v>7.2</v>
      </c>
      <c r="F221" s="48">
        <f>PSTable_Weeds!K149</f>
        <v>3.8</v>
      </c>
      <c r="G221" s="48">
        <f>PSTable_Weeds!L149</f>
        <v>1</v>
      </c>
      <c r="H221"/>
      <c r="I221"/>
    </row>
    <row r="222" spans="1:9" ht="12.75">
      <c r="A222" s="1">
        <f>PSTable_Weeds!A151</f>
        <v>121</v>
      </c>
      <c r="B222" s="1"/>
      <c r="C222">
        <f>PSTable_Weeds!B151</f>
        <v>18.90625</v>
      </c>
      <c r="D222" s="52">
        <f>PSTable_Weeds!D151</f>
        <v>81.15665125637955</v>
      </c>
      <c r="E222" s="48">
        <f>PSTable_Weeds!J150</f>
        <v>7.2</v>
      </c>
      <c r="F222" s="48">
        <f>PSTable_Weeds!K150</f>
        <v>3.8</v>
      </c>
      <c r="G222" s="48">
        <f>PSTable_Weeds!L150</f>
        <v>1</v>
      </c>
      <c r="H222"/>
      <c r="I222"/>
    </row>
    <row r="223" spans="1:9" ht="12.75">
      <c r="A223" s="1">
        <f>PSTable_Weeds!A152</f>
        <v>122</v>
      </c>
      <c r="B223" s="1"/>
      <c r="C223">
        <f>PSTable_Weeds!B152</f>
        <v>19.0625</v>
      </c>
      <c r="D223" s="52">
        <f>PSTable_Weeds!D152</f>
        <v>82.95436063168849</v>
      </c>
      <c r="E223" s="48">
        <f>PSTable_Weeds!J151</f>
        <v>7.2</v>
      </c>
      <c r="F223" s="48">
        <f>PSTable_Weeds!K151</f>
        <v>3.8</v>
      </c>
      <c r="G223" s="48">
        <f>PSTable_Weeds!L151</f>
        <v>1</v>
      </c>
      <c r="H223"/>
      <c r="I223"/>
    </row>
    <row r="224" spans="1:9" ht="12.75">
      <c r="A224" s="1">
        <f>PSTable_Weeds!A153</f>
        <v>123</v>
      </c>
      <c r="B224" s="1"/>
      <c r="C224">
        <f>PSTable_Weeds!B153</f>
        <v>19.21875</v>
      </c>
      <c r="D224" s="52">
        <f>PSTable_Weeds!D153</f>
        <v>84.7918912532914</v>
      </c>
      <c r="E224" s="48">
        <f>PSTable_Weeds!J152</f>
        <v>7.2</v>
      </c>
      <c r="F224" s="48">
        <f>PSTable_Weeds!K152</f>
        <v>3.8</v>
      </c>
      <c r="G224" s="48">
        <f>PSTable_Weeds!L152</f>
        <v>1</v>
      </c>
      <c r="H224"/>
      <c r="I224"/>
    </row>
    <row r="225" spans="1:9" ht="12.75">
      <c r="A225" s="1">
        <f>PSTable_Weeds!A154</f>
        <v>124</v>
      </c>
      <c r="B225" s="1"/>
      <c r="C225">
        <f>PSTable_Weeds!B154</f>
        <v>19.375</v>
      </c>
      <c r="D225" s="52">
        <f>PSTable_Weeds!D154</f>
        <v>86.6701252057333</v>
      </c>
      <c r="E225" s="48">
        <f>PSTable_Weeds!J153</f>
        <v>7.2</v>
      </c>
      <c r="F225" s="48">
        <f>PSTable_Weeds!K153</f>
        <v>3.8</v>
      </c>
      <c r="G225" s="48">
        <f>PSTable_Weeds!L153</f>
        <v>1</v>
      </c>
      <c r="H225"/>
      <c r="I225"/>
    </row>
    <row r="226" spans="1:9" ht="12.75">
      <c r="A226" s="1">
        <f>PSTable_Weeds!A155</f>
        <v>125</v>
      </c>
      <c r="B226" s="1"/>
      <c r="C226">
        <f>PSTable_Weeds!B155</f>
        <v>19.53125</v>
      </c>
      <c r="D226" s="52">
        <f>PSTable_Weeds!D155</f>
        <v>88.5899641127052</v>
      </c>
      <c r="E226" s="48">
        <f>PSTable_Weeds!J154</f>
        <v>7.2</v>
      </c>
      <c r="F226" s="48">
        <f>PSTable_Weeds!K154</f>
        <v>3.8</v>
      </c>
      <c r="G226" s="48">
        <f>PSTable_Weeds!L154</f>
        <v>1</v>
      </c>
      <c r="H226"/>
      <c r="I226"/>
    </row>
    <row r="227" spans="1:9" ht="12.75">
      <c r="A227" s="1">
        <f>PSTable_Weeds!A156</f>
        <v>126</v>
      </c>
      <c r="B227" s="1"/>
      <c r="C227">
        <f>PSTable_Weeds!B156</f>
        <v>19.6875</v>
      </c>
      <c r="D227" s="52">
        <f>PSTable_Weeds!D156</f>
        <v>90.5523295698578</v>
      </c>
      <c r="E227" s="48">
        <f>PSTable_Weeds!J155</f>
        <v>7.2</v>
      </c>
      <c r="F227" s="48">
        <f>PSTable_Weeds!K155</f>
        <v>3.8</v>
      </c>
      <c r="G227" s="48">
        <f>PSTable_Weeds!L155</f>
        <v>1</v>
      </c>
      <c r="H227"/>
      <c r="I227"/>
    </row>
    <row r="228" spans="1:9" ht="12.75">
      <c r="A228" s="1">
        <f>PSTable_Weeds!A157</f>
        <v>127</v>
      </c>
      <c r="B228" s="1"/>
      <c r="C228">
        <f>PSTable_Weeds!B157</f>
        <v>19.84375</v>
      </c>
      <c r="D228" s="52">
        <f>PSTable_Weeds!D157</f>
        <v>92.55816358720207</v>
      </c>
      <c r="E228" s="48">
        <f>PSTable_Weeds!J156</f>
        <v>7.2</v>
      </c>
      <c r="F228" s="48">
        <f>PSTable_Weeds!K156</f>
        <v>3.8</v>
      </c>
      <c r="G228" s="48">
        <f>PSTable_Weeds!L156</f>
        <v>1</v>
      </c>
      <c r="H228"/>
      <c r="I228"/>
    </row>
    <row r="229" spans="1:9" ht="12.75">
      <c r="A229" s="1">
        <f>PSTable_Weeds!A158</f>
        <v>128</v>
      </c>
      <c r="B229" s="1"/>
      <c r="C229">
        <f>PSTable_Weeds!B158</f>
        <v>20</v>
      </c>
      <c r="D229" s="52">
        <f>PSTable_Weeds!D158</f>
        <v>94.60842904131074</v>
      </c>
      <c r="E229" s="48">
        <f>PSTable_Weeds!J157</f>
        <v>7.2</v>
      </c>
      <c r="F229" s="48">
        <f>PSTable_Weeds!K157</f>
        <v>3.8</v>
      </c>
      <c r="G229" s="48">
        <f>PSTable_Weeds!L157</f>
        <v>1</v>
      </c>
      <c r="H229"/>
      <c r="I229"/>
    </row>
    <row r="230" spans="1:9" ht="12.75">
      <c r="A230" s="1"/>
      <c r="H230"/>
      <c r="I230"/>
    </row>
    <row r="231" spans="1:9" ht="12.75">
      <c r="A231" s="1"/>
      <c r="H231"/>
      <c r="I231"/>
    </row>
    <row r="232" spans="1:9" ht="12.75">
      <c r="A232" s="1"/>
      <c r="H232"/>
      <c r="I232"/>
    </row>
    <row r="233" spans="1:9" ht="12.75">
      <c r="A233" s="1"/>
      <c r="H233"/>
      <c r="I233"/>
    </row>
    <row r="234" spans="8:9" ht="12.75">
      <c r="H234"/>
      <c r="I234"/>
    </row>
    <row r="235" spans="8:9" ht="12.75">
      <c r="H235"/>
      <c r="I235"/>
    </row>
    <row r="236" spans="8:9" ht="12.75">
      <c r="H236"/>
      <c r="I236"/>
    </row>
    <row r="237" spans="8:9" ht="12.75">
      <c r="H237"/>
      <c r="I237"/>
    </row>
    <row r="238" spans="8:9" ht="12.75">
      <c r="H238"/>
      <c r="I238"/>
    </row>
    <row r="239" spans="8:9" ht="12.75">
      <c r="H239"/>
      <c r="I239"/>
    </row>
    <row r="240" spans="8:9" ht="12.75">
      <c r="H240"/>
      <c r="I240"/>
    </row>
    <row r="241" spans="8:9" ht="12.75">
      <c r="H241"/>
      <c r="I241"/>
    </row>
    <row r="242" spans="8:9" ht="12.75">
      <c r="H242"/>
      <c r="I242"/>
    </row>
    <row r="243" spans="8:9" ht="12.75">
      <c r="H243"/>
      <c r="I243"/>
    </row>
    <row r="244" spans="8:9" ht="12.75">
      <c r="H244"/>
      <c r="I244"/>
    </row>
    <row r="245" spans="8:9" ht="12.75">
      <c r="H245"/>
      <c r="I245"/>
    </row>
    <row r="246" spans="8:9" ht="12.75">
      <c r="H246"/>
      <c r="I246"/>
    </row>
    <row r="247" spans="8:9" ht="12.75">
      <c r="H247"/>
      <c r="I247"/>
    </row>
    <row r="248" spans="8:9" ht="12.75">
      <c r="H248"/>
      <c r="I248"/>
    </row>
    <row r="249" spans="8:9" ht="12.75">
      <c r="H249"/>
      <c r="I249"/>
    </row>
    <row r="250" spans="8:9" ht="12.75">
      <c r="H250"/>
      <c r="I250"/>
    </row>
    <row r="251" spans="8:9" ht="12.75">
      <c r="H251"/>
      <c r="I251"/>
    </row>
    <row r="252" spans="8:9" ht="12.75">
      <c r="H252"/>
      <c r="I252"/>
    </row>
    <row r="253" spans="8:9" ht="12.75">
      <c r="H253"/>
      <c r="I253"/>
    </row>
    <row r="254" spans="8:9" ht="12.75">
      <c r="H254"/>
      <c r="I254"/>
    </row>
    <row r="255" spans="8:9" ht="12.75">
      <c r="H255"/>
      <c r="I255"/>
    </row>
    <row r="256" spans="8:9" ht="12.75">
      <c r="H256"/>
      <c r="I256"/>
    </row>
    <row r="257" spans="8:9" ht="12.75">
      <c r="H257"/>
      <c r="I257"/>
    </row>
    <row r="258" spans="8:9" ht="12.75">
      <c r="H258"/>
      <c r="I258"/>
    </row>
    <row r="259" spans="8:9" ht="12.75">
      <c r="H259"/>
      <c r="I259"/>
    </row>
    <row r="260" spans="8:9" ht="12.75">
      <c r="H260"/>
      <c r="I260"/>
    </row>
    <row r="261" spans="8:9" ht="12.75">
      <c r="H261"/>
      <c r="I261"/>
    </row>
    <row r="262" spans="8:9" ht="12.75">
      <c r="H262"/>
      <c r="I262"/>
    </row>
    <row r="263" spans="8:9" ht="12.75">
      <c r="H263"/>
      <c r="I263"/>
    </row>
    <row r="264" spans="8:9" ht="12.75">
      <c r="H264"/>
      <c r="I264"/>
    </row>
    <row r="265" spans="8:9" ht="12.75">
      <c r="H265"/>
      <c r="I265"/>
    </row>
    <row r="266" spans="8:9" ht="12.75">
      <c r="H266"/>
      <c r="I266"/>
    </row>
    <row r="267" spans="8:9" ht="12.75">
      <c r="H267"/>
      <c r="I267"/>
    </row>
    <row r="268" spans="8:9" ht="12.75">
      <c r="H268"/>
      <c r="I268"/>
    </row>
    <row r="269" spans="8:9" ht="12.75">
      <c r="H269"/>
      <c r="I269"/>
    </row>
    <row r="270" spans="8:9" ht="12.75">
      <c r="H270"/>
      <c r="I270"/>
    </row>
    <row r="271" spans="8:9" ht="12.75">
      <c r="H271"/>
      <c r="I271"/>
    </row>
    <row r="272" spans="8:9" ht="12.75">
      <c r="H272"/>
      <c r="I272"/>
    </row>
    <row r="273" spans="8:9" ht="12.75">
      <c r="H273"/>
      <c r="I273"/>
    </row>
    <row r="274" spans="8:9" ht="12.75">
      <c r="H274"/>
      <c r="I274"/>
    </row>
    <row r="275" spans="8:9" ht="12.75">
      <c r="H275"/>
      <c r="I275"/>
    </row>
    <row r="276" spans="8:9" ht="12.75">
      <c r="H276"/>
      <c r="I276"/>
    </row>
    <row r="277" spans="8:9" ht="12.75">
      <c r="H277"/>
      <c r="I277"/>
    </row>
    <row r="278" spans="8:9" ht="12.75">
      <c r="H278"/>
      <c r="I278"/>
    </row>
    <row r="279" spans="8:9" ht="12.75">
      <c r="H279"/>
      <c r="I279"/>
    </row>
    <row r="280" spans="8:9" ht="12.75">
      <c r="H280"/>
      <c r="I280"/>
    </row>
    <row r="281" spans="8:9" ht="12.75">
      <c r="H281"/>
      <c r="I281"/>
    </row>
    <row r="282" spans="8:9" ht="12.75">
      <c r="H282"/>
      <c r="I282"/>
    </row>
    <row r="283" spans="8:9" ht="12.75">
      <c r="H283"/>
      <c r="I283"/>
    </row>
    <row r="284" spans="8:9" ht="12.75">
      <c r="H284"/>
      <c r="I284"/>
    </row>
    <row r="285" spans="8:9" ht="12.75">
      <c r="H285"/>
      <c r="I285"/>
    </row>
    <row r="286" spans="8:9" ht="12.75">
      <c r="H286"/>
      <c r="I286"/>
    </row>
    <row r="287" spans="8:9" ht="12.75">
      <c r="H287"/>
      <c r="I287"/>
    </row>
    <row r="288" spans="8:9" ht="12.75">
      <c r="H288"/>
      <c r="I288"/>
    </row>
    <row r="289" spans="8:9" ht="12.75">
      <c r="H289"/>
      <c r="I289"/>
    </row>
    <row r="290" spans="8:9" ht="12.75">
      <c r="H290"/>
      <c r="I290"/>
    </row>
    <row r="291" spans="8:9" ht="12.75">
      <c r="H291"/>
      <c r="I291"/>
    </row>
    <row r="292" spans="8:9" ht="12.75">
      <c r="H292"/>
      <c r="I292"/>
    </row>
    <row r="293" spans="8:9" ht="12.75">
      <c r="H293"/>
      <c r="I293"/>
    </row>
    <row r="294" spans="8:9" ht="12.75">
      <c r="H294"/>
      <c r="I294"/>
    </row>
    <row r="295" spans="8:9" ht="12.75">
      <c r="H295"/>
      <c r="I295"/>
    </row>
    <row r="296" spans="8:9" ht="12.75">
      <c r="H296"/>
      <c r="I296"/>
    </row>
    <row r="297" spans="8:9" ht="12.75">
      <c r="H297"/>
      <c r="I297"/>
    </row>
    <row r="298" spans="8:9" ht="12.75">
      <c r="H298"/>
      <c r="I298"/>
    </row>
    <row r="299" spans="8:9" ht="12.75">
      <c r="H299"/>
      <c r="I299"/>
    </row>
    <row r="300" spans="8:9" ht="12.75">
      <c r="H300"/>
      <c r="I300"/>
    </row>
    <row r="301" spans="8:9" ht="12.75">
      <c r="H301"/>
      <c r="I301"/>
    </row>
    <row r="302" spans="8:9" ht="12.75">
      <c r="H302"/>
      <c r="I302"/>
    </row>
    <row r="303" spans="8:9" ht="12.75">
      <c r="H303"/>
      <c r="I303"/>
    </row>
    <row r="304" spans="8:9" ht="12.75">
      <c r="H304"/>
      <c r="I304"/>
    </row>
    <row r="305" spans="8:9" ht="12.75">
      <c r="H305"/>
      <c r="I305"/>
    </row>
    <row r="306" spans="8:9" ht="12.75">
      <c r="H306"/>
      <c r="I306"/>
    </row>
    <row r="307" spans="8:9" ht="12.75">
      <c r="H307"/>
      <c r="I307"/>
    </row>
    <row r="308" spans="8:9" ht="12.75">
      <c r="H308"/>
      <c r="I308"/>
    </row>
    <row r="309" spans="8:9" ht="12.75">
      <c r="H309"/>
      <c r="I309"/>
    </row>
    <row r="310" spans="8:9" ht="12.75">
      <c r="H310"/>
      <c r="I310"/>
    </row>
    <row r="311" spans="8:9" ht="12.75">
      <c r="H311"/>
      <c r="I311"/>
    </row>
    <row r="312" spans="8:9" ht="12.75">
      <c r="H312"/>
      <c r="I312"/>
    </row>
    <row r="313" spans="8:9" ht="12.75">
      <c r="H313"/>
      <c r="I313"/>
    </row>
    <row r="314" spans="8:9" ht="12.75">
      <c r="H314"/>
      <c r="I314"/>
    </row>
    <row r="315" spans="8:9" ht="12.75">
      <c r="H315"/>
      <c r="I315"/>
    </row>
    <row r="316" spans="8:9" ht="12.75">
      <c r="H316"/>
      <c r="I316"/>
    </row>
    <row r="317" spans="8:9" ht="12.75">
      <c r="H317"/>
      <c r="I317"/>
    </row>
    <row r="318" spans="8:9" ht="12.75">
      <c r="H318"/>
      <c r="I318"/>
    </row>
    <row r="319" spans="8:9" ht="12.75">
      <c r="H319"/>
      <c r="I319"/>
    </row>
    <row r="320" spans="8:9" ht="12.75">
      <c r="H320"/>
      <c r="I320"/>
    </row>
    <row r="321" spans="8:9" ht="12.75">
      <c r="H321"/>
      <c r="I321"/>
    </row>
    <row r="322" spans="8:9" ht="12.75">
      <c r="H322"/>
      <c r="I322"/>
    </row>
    <row r="323" spans="8:9" ht="12.75">
      <c r="H323"/>
      <c r="I323"/>
    </row>
    <row r="324" spans="8:9" ht="12.75">
      <c r="H324"/>
      <c r="I324"/>
    </row>
    <row r="325" spans="8:9" ht="12.75">
      <c r="H325"/>
      <c r="I325"/>
    </row>
    <row r="326" spans="8:9" ht="12.75">
      <c r="H326"/>
      <c r="I326"/>
    </row>
    <row r="327" spans="8:9" ht="12.75">
      <c r="H327"/>
      <c r="I327"/>
    </row>
    <row r="328" spans="8:9" ht="12.75">
      <c r="H328"/>
      <c r="I328"/>
    </row>
    <row r="329" spans="8:9" ht="12.75">
      <c r="H329"/>
      <c r="I329"/>
    </row>
    <row r="330" spans="8:9" ht="12.75">
      <c r="H330"/>
      <c r="I330"/>
    </row>
    <row r="331" spans="8:9" ht="12.75">
      <c r="H331"/>
      <c r="I331"/>
    </row>
    <row r="332" spans="8:9" ht="12.75">
      <c r="H332"/>
      <c r="I332"/>
    </row>
    <row r="333" spans="8:9" ht="12.75">
      <c r="H333"/>
      <c r="I333"/>
    </row>
    <row r="334" spans="8:9" ht="12.75">
      <c r="H334"/>
      <c r="I334"/>
    </row>
    <row r="335" spans="8:9" ht="12.75">
      <c r="H335"/>
      <c r="I335"/>
    </row>
    <row r="336" spans="8:9" ht="12.75">
      <c r="H336"/>
      <c r="I336"/>
    </row>
    <row r="337" spans="8:9" ht="12.75">
      <c r="H337"/>
      <c r="I337"/>
    </row>
    <row r="338" spans="8:9" ht="12.75">
      <c r="H338"/>
      <c r="I338"/>
    </row>
    <row r="339" spans="8:9" ht="12.75">
      <c r="H339"/>
      <c r="I339"/>
    </row>
    <row r="340" spans="8:9" ht="12.75">
      <c r="H340"/>
      <c r="I340"/>
    </row>
    <row r="341" spans="8:9" ht="12.75">
      <c r="H341"/>
      <c r="I341"/>
    </row>
    <row r="342" spans="8:9" ht="12.75">
      <c r="H342"/>
      <c r="I342"/>
    </row>
    <row r="343" spans="8:9" ht="12.75">
      <c r="H343"/>
      <c r="I343"/>
    </row>
    <row r="344" spans="8:9" ht="12.75">
      <c r="H344"/>
      <c r="I344"/>
    </row>
    <row r="345" spans="8:9" ht="12.75">
      <c r="H345"/>
      <c r="I345"/>
    </row>
    <row r="346" spans="8:9" ht="12.75">
      <c r="H346"/>
      <c r="I346"/>
    </row>
    <row r="347" spans="8:9" ht="12.75">
      <c r="H347"/>
      <c r="I347"/>
    </row>
    <row r="348" spans="8:9" ht="12.75">
      <c r="H348"/>
      <c r="I348"/>
    </row>
    <row r="349" spans="8:9" ht="12.75">
      <c r="H349"/>
      <c r="I349"/>
    </row>
    <row r="350" spans="8:9" ht="12.75">
      <c r="H350"/>
      <c r="I350"/>
    </row>
    <row r="351" spans="8:9" ht="12.75">
      <c r="H351"/>
      <c r="I351"/>
    </row>
    <row r="352" spans="8:9" ht="12.75">
      <c r="H352"/>
      <c r="I352"/>
    </row>
    <row r="353" spans="8:9" ht="12.75">
      <c r="H353"/>
      <c r="I353"/>
    </row>
    <row r="354" spans="8:9" ht="12.75">
      <c r="H354"/>
      <c r="I354"/>
    </row>
    <row r="355" spans="8:9" ht="12.75">
      <c r="H355"/>
      <c r="I355"/>
    </row>
    <row r="356" spans="8:9" ht="12.75">
      <c r="H356"/>
      <c r="I356"/>
    </row>
    <row r="357" spans="8:9" ht="12.75">
      <c r="H357"/>
      <c r="I357"/>
    </row>
    <row r="358" spans="8:9" ht="12.75">
      <c r="H358"/>
      <c r="I358"/>
    </row>
    <row r="359" spans="8:9" ht="12.75">
      <c r="H359"/>
      <c r="I359"/>
    </row>
    <row r="360" spans="8:9" ht="12.75">
      <c r="H360"/>
      <c r="I360"/>
    </row>
    <row r="361" spans="8:9" ht="12.75">
      <c r="H361"/>
      <c r="I361"/>
    </row>
    <row r="362" spans="8:9" ht="12.75">
      <c r="H362"/>
      <c r="I362"/>
    </row>
    <row r="363" spans="8:9" ht="12.75">
      <c r="H363"/>
      <c r="I363"/>
    </row>
    <row r="364" spans="8:9" ht="12.75">
      <c r="H364"/>
      <c r="I364"/>
    </row>
    <row r="365" spans="8:9" ht="12.75">
      <c r="H365"/>
      <c r="I365"/>
    </row>
    <row r="366" spans="8:9" ht="12.75">
      <c r="H366"/>
      <c r="I366"/>
    </row>
    <row r="367" spans="8:9" ht="12.75">
      <c r="H367"/>
      <c r="I367"/>
    </row>
    <row r="368" spans="8:9" ht="12.75">
      <c r="H368"/>
      <c r="I368"/>
    </row>
    <row r="369" spans="8:9" ht="12.75">
      <c r="H369"/>
      <c r="I369"/>
    </row>
    <row r="370" spans="8:9" ht="12.75">
      <c r="H370"/>
      <c r="I370"/>
    </row>
    <row r="371" spans="8:9" ht="12.75">
      <c r="H371"/>
      <c r="I371"/>
    </row>
    <row r="372" spans="8:9" ht="12.75">
      <c r="H372"/>
      <c r="I372"/>
    </row>
    <row r="373" spans="8:9" ht="12.75">
      <c r="H373"/>
      <c r="I373"/>
    </row>
    <row r="374" spans="8:9" ht="12.75">
      <c r="H374"/>
      <c r="I374"/>
    </row>
    <row r="375" spans="8:9" ht="12.75">
      <c r="H375"/>
      <c r="I375"/>
    </row>
    <row r="376" spans="8:9" ht="12.75">
      <c r="H376"/>
      <c r="I376"/>
    </row>
    <row r="377" spans="8:9" ht="12.75">
      <c r="H377"/>
      <c r="I377"/>
    </row>
    <row r="378" spans="8:9" ht="12.75">
      <c r="H378"/>
      <c r="I378"/>
    </row>
    <row r="379" spans="8:9" ht="12.75">
      <c r="H379"/>
      <c r="I379"/>
    </row>
    <row r="380" spans="8:9" ht="12.75">
      <c r="H380"/>
      <c r="I380"/>
    </row>
    <row r="381" spans="8:9" ht="12.75">
      <c r="H381"/>
      <c r="I381"/>
    </row>
    <row r="382" spans="8:9" ht="12.75">
      <c r="H382"/>
      <c r="I382"/>
    </row>
    <row r="383" spans="8:9" ht="12.75">
      <c r="H383"/>
      <c r="I383"/>
    </row>
    <row r="384" spans="8:9" ht="12.75">
      <c r="H384"/>
      <c r="I384"/>
    </row>
    <row r="385" spans="8:9" ht="12.75">
      <c r="H385"/>
      <c r="I385"/>
    </row>
    <row r="386" spans="8:9" ht="12.75">
      <c r="H386"/>
      <c r="I386"/>
    </row>
    <row r="387" spans="8:9" ht="12.75">
      <c r="H387"/>
      <c r="I387"/>
    </row>
    <row r="388" spans="8:9" ht="12.75">
      <c r="H388"/>
      <c r="I388"/>
    </row>
    <row r="389" spans="8:9" ht="12.75">
      <c r="H389"/>
      <c r="I389"/>
    </row>
    <row r="390" spans="8:9" ht="12.75">
      <c r="H390"/>
      <c r="I390"/>
    </row>
    <row r="391" spans="8:9" ht="12.75">
      <c r="H391"/>
      <c r="I391"/>
    </row>
    <row r="392" spans="8:9" ht="12.75">
      <c r="H392"/>
      <c r="I392"/>
    </row>
    <row r="393" spans="8:9" ht="12.75">
      <c r="H393"/>
      <c r="I393"/>
    </row>
    <row r="394" spans="8:9" ht="12.75">
      <c r="H394"/>
      <c r="I394"/>
    </row>
    <row r="395" spans="8:9" ht="12.75">
      <c r="H395"/>
      <c r="I395"/>
    </row>
    <row r="396" spans="8:9" ht="12.75">
      <c r="H396"/>
      <c r="I396"/>
    </row>
    <row r="397" spans="8:9" ht="12.75">
      <c r="H397"/>
      <c r="I397"/>
    </row>
    <row r="398" spans="8:9" ht="12.75">
      <c r="H398"/>
      <c r="I398"/>
    </row>
    <row r="399" spans="8:9" ht="12.75">
      <c r="H399"/>
      <c r="I399"/>
    </row>
    <row r="400" spans="8:9" ht="12.75">
      <c r="H400"/>
      <c r="I400"/>
    </row>
    <row r="401" spans="8:9" ht="12.75">
      <c r="H401"/>
      <c r="I401"/>
    </row>
    <row r="402" spans="8:9" ht="12.75">
      <c r="H402"/>
      <c r="I402"/>
    </row>
    <row r="403" spans="8:9" ht="12.75">
      <c r="H403"/>
      <c r="I403"/>
    </row>
    <row r="404" spans="8:9" ht="12.75">
      <c r="H404"/>
      <c r="I404"/>
    </row>
    <row r="405" spans="8:9" ht="12.75">
      <c r="H405"/>
      <c r="I405"/>
    </row>
    <row r="406" spans="8:9" ht="12.75">
      <c r="H406"/>
      <c r="I406"/>
    </row>
    <row r="407" spans="8:9" ht="12.75">
      <c r="H407"/>
      <c r="I407"/>
    </row>
    <row r="408" spans="8:9" ht="12.75">
      <c r="H408"/>
      <c r="I408"/>
    </row>
    <row r="409" spans="8:9" ht="12.75">
      <c r="H409"/>
      <c r="I409"/>
    </row>
    <row r="410" spans="8:9" ht="12.75">
      <c r="H410"/>
      <c r="I410"/>
    </row>
    <row r="411" spans="8:9" ht="12.75">
      <c r="H411"/>
      <c r="I411"/>
    </row>
    <row r="412" spans="8:9" ht="12.75">
      <c r="H412"/>
      <c r="I412"/>
    </row>
    <row r="413" spans="8:9" ht="12.75">
      <c r="H413"/>
      <c r="I413"/>
    </row>
    <row r="414" spans="8:9" ht="12.75">
      <c r="H414"/>
      <c r="I414"/>
    </row>
    <row r="415" spans="8:9" ht="12.75">
      <c r="H415"/>
      <c r="I415"/>
    </row>
    <row r="416" spans="8:9" ht="12.75">
      <c r="H416"/>
      <c r="I416"/>
    </row>
    <row r="417" spans="8:9" ht="12.75">
      <c r="H417"/>
      <c r="I417"/>
    </row>
    <row r="418" spans="8:9" ht="12.75">
      <c r="H418"/>
      <c r="I418"/>
    </row>
    <row r="419" spans="8:9" ht="12.75">
      <c r="H419"/>
      <c r="I419"/>
    </row>
    <row r="420" spans="8:9" ht="12.75">
      <c r="H420"/>
      <c r="I420"/>
    </row>
    <row r="421" spans="8:9" ht="12.75">
      <c r="H421"/>
      <c r="I421"/>
    </row>
    <row r="422" spans="8:9" ht="12.75">
      <c r="H422"/>
      <c r="I422"/>
    </row>
    <row r="423" spans="8:9" ht="12.75">
      <c r="H423"/>
      <c r="I423"/>
    </row>
    <row r="424" spans="8:9" ht="12.75">
      <c r="H424"/>
      <c r="I424"/>
    </row>
    <row r="425" spans="8:9" ht="12.75">
      <c r="H425"/>
      <c r="I425"/>
    </row>
    <row r="426" spans="8:9" ht="12.75">
      <c r="H426"/>
      <c r="I426"/>
    </row>
    <row r="427" spans="8:9" ht="12.75">
      <c r="H427"/>
      <c r="I427"/>
    </row>
    <row r="428" spans="8:9" ht="12.75">
      <c r="H428"/>
      <c r="I428"/>
    </row>
    <row r="429" spans="8:9" ht="12.75">
      <c r="H429"/>
      <c r="I429"/>
    </row>
    <row r="430" spans="8:9" ht="12.75">
      <c r="H430"/>
      <c r="I430"/>
    </row>
  </sheetData>
  <mergeCells count="6">
    <mergeCell ref="A1:I4"/>
    <mergeCell ref="A6:E6"/>
    <mergeCell ref="F6:I6"/>
    <mergeCell ref="H36:J36"/>
    <mergeCell ref="I26:L27"/>
    <mergeCell ref="I29:L30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S430"/>
  <sheetViews>
    <sheetView zoomScale="85" zoomScaleNormal="85" workbookViewId="0" topLeftCell="A1">
      <selection activeCell="L43" sqref="L37:L43"/>
    </sheetView>
  </sheetViews>
  <sheetFormatPr defaultColWidth="9.140625" defaultRowHeight="12.75"/>
  <cols>
    <col min="1" max="1" width="9.140625" style="88" customWidth="1"/>
    <col min="2" max="2" width="13.28125" style="88" customWidth="1"/>
    <col min="3" max="3" width="12.57421875" style="88" customWidth="1"/>
    <col min="4" max="4" width="11.57421875" style="88" customWidth="1"/>
    <col min="5" max="5" width="11.8515625" style="88" customWidth="1"/>
    <col min="6" max="6" width="11.00390625" style="88" customWidth="1"/>
    <col min="7" max="7" width="11.57421875" style="88" customWidth="1"/>
    <col min="8" max="8" width="11.7109375" style="124" customWidth="1"/>
    <col min="9" max="9" width="11.28125" style="124" customWidth="1"/>
    <col min="10" max="10" width="6.57421875" style="88" customWidth="1"/>
    <col min="11" max="11" width="11.421875" style="88" customWidth="1"/>
    <col min="12" max="12" width="13.7109375" style="88" customWidth="1"/>
    <col min="13" max="13" width="22.8515625" style="88" customWidth="1"/>
    <col min="14" max="16384" width="9.140625" style="88" customWidth="1"/>
  </cols>
  <sheetData>
    <row r="1" spans="1:15" ht="12.75">
      <c r="A1" s="244" t="s">
        <v>86</v>
      </c>
      <c r="B1" s="245"/>
      <c r="C1" s="245"/>
      <c r="D1" s="245"/>
      <c r="E1" s="245"/>
      <c r="F1" s="245"/>
      <c r="G1" s="245"/>
      <c r="H1" s="245"/>
      <c r="I1" s="245"/>
      <c r="J1" s="79"/>
      <c r="K1" s="79"/>
      <c r="L1" s="79"/>
      <c r="M1" s="107"/>
      <c r="N1" s="107"/>
      <c r="O1" s="107"/>
    </row>
    <row r="2" spans="1:15" ht="12.75">
      <c r="A2" s="246"/>
      <c r="B2" s="245"/>
      <c r="C2" s="245"/>
      <c r="D2" s="245"/>
      <c r="E2" s="245"/>
      <c r="F2" s="245"/>
      <c r="G2" s="245"/>
      <c r="H2" s="245"/>
      <c r="I2" s="245"/>
      <c r="J2" s="79"/>
      <c r="K2" s="79"/>
      <c r="L2" s="79"/>
      <c r="M2" s="107"/>
      <c r="N2" s="107"/>
      <c r="O2" s="107"/>
    </row>
    <row r="3" spans="1:15" ht="12.75">
      <c r="A3" s="245"/>
      <c r="B3" s="245"/>
      <c r="C3" s="245"/>
      <c r="D3" s="245"/>
      <c r="E3" s="245"/>
      <c r="F3" s="245"/>
      <c r="G3" s="245"/>
      <c r="H3" s="245"/>
      <c r="I3" s="245"/>
      <c r="J3" s="79"/>
      <c r="K3" s="79"/>
      <c r="L3" s="79"/>
      <c r="M3" s="107"/>
      <c r="N3" s="107"/>
      <c r="O3" s="107"/>
    </row>
    <row r="4" spans="1:15" ht="12.75">
      <c r="A4" s="245"/>
      <c r="B4" s="245"/>
      <c r="C4" s="245"/>
      <c r="D4" s="245"/>
      <c r="E4" s="245"/>
      <c r="F4" s="245"/>
      <c r="G4" s="245"/>
      <c r="H4" s="245"/>
      <c r="I4" s="245"/>
      <c r="J4" s="79"/>
      <c r="K4" s="79"/>
      <c r="L4" s="79"/>
      <c r="M4" s="107"/>
      <c r="N4" s="107"/>
      <c r="O4" s="107"/>
    </row>
    <row r="5" spans="1:15" ht="20.25">
      <c r="A5" s="80" t="s">
        <v>258</v>
      </c>
      <c r="B5" s="78"/>
      <c r="C5" s="78"/>
      <c r="D5" s="78"/>
      <c r="E5" s="78"/>
      <c r="F5" s="78"/>
      <c r="G5" s="78"/>
      <c r="H5" s="78"/>
      <c r="I5" s="78"/>
      <c r="J5" s="79"/>
      <c r="K5" s="79"/>
      <c r="L5" s="79"/>
      <c r="M5" s="107"/>
      <c r="N5" s="107"/>
      <c r="O5" s="107"/>
    </row>
    <row r="6" spans="1:15" ht="13.5" thickBot="1">
      <c r="A6" s="247" t="s">
        <v>15</v>
      </c>
      <c r="B6" s="248"/>
      <c r="C6" s="248"/>
      <c r="D6" s="248"/>
      <c r="E6" s="248"/>
      <c r="F6" s="248" t="s">
        <v>9</v>
      </c>
      <c r="G6" s="248"/>
      <c r="H6" s="248"/>
      <c r="I6" s="248"/>
      <c r="J6" s="81"/>
      <c r="K6" s="81"/>
      <c r="L6" s="81"/>
      <c r="M6" s="107"/>
      <c r="N6" s="107"/>
      <c r="O6" s="107"/>
    </row>
    <row r="7" spans="1:15" ht="12.75">
      <c r="A7" s="82"/>
      <c r="B7" s="83" t="s">
        <v>20</v>
      </c>
      <c r="C7" s="83" t="s">
        <v>21</v>
      </c>
      <c r="D7" s="63" t="s">
        <v>133</v>
      </c>
      <c r="E7" s="82"/>
      <c r="F7" s="82"/>
      <c r="G7" s="82"/>
      <c r="H7" s="84"/>
      <c r="I7" s="84"/>
      <c r="J7" s="82"/>
      <c r="K7" s="82"/>
      <c r="L7" s="82"/>
      <c r="M7" s="107"/>
      <c r="N7" s="107"/>
      <c r="O7" s="107"/>
    </row>
    <row r="8" spans="1:15" ht="12.75">
      <c r="A8" s="82"/>
      <c r="B8" s="85">
        <f>NVTable_Data_Entry!B8</f>
        <v>0.32</v>
      </c>
      <c r="C8" s="85">
        <f>NVTable_Data_Entry!C8</f>
        <v>0.7</v>
      </c>
      <c r="D8" s="85">
        <f>NVTable_Data_Entry!D8</f>
        <v>0.8</v>
      </c>
      <c r="E8" s="82"/>
      <c r="F8" s="86">
        <f>NVTable_Data_Entry!F8</f>
        <v>0.532</v>
      </c>
      <c r="G8" s="87">
        <f>NVTable_Data_Entry!G8</f>
        <v>270.1</v>
      </c>
      <c r="H8" s="87">
        <f>NVTable_Data_Entry!H8</f>
        <v>0.0239</v>
      </c>
      <c r="I8" s="87">
        <f>NVTable_Data_Entry!I8</f>
        <v>60</v>
      </c>
      <c r="J8" s="82"/>
      <c r="K8" s="82"/>
      <c r="L8" s="82"/>
      <c r="M8" s="107"/>
      <c r="N8" s="107"/>
      <c r="O8" s="107"/>
    </row>
    <row r="9" spans="1:15" ht="12.75">
      <c r="A9" s="82"/>
      <c r="B9" s="84"/>
      <c r="C9" s="84"/>
      <c r="D9" s="82"/>
      <c r="E9" s="82"/>
      <c r="F9" s="82"/>
      <c r="G9" s="82"/>
      <c r="H9" s="82"/>
      <c r="I9" s="84"/>
      <c r="J9" s="82"/>
      <c r="K9" s="82"/>
      <c r="L9" s="82"/>
      <c r="M9" s="107"/>
      <c r="N9" s="107"/>
      <c r="O9" s="107"/>
    </row>
    <row r="10" spans="1:15" ht="12.75">
      <c r="A10" s="82"/>
      <c r="B10" s="83" t="s">
        <v>50</v>
      </c>
      <c r="C10" s="84"/>
      <c r="D10" s="82"/>
      <c r="E10" s="82"/>
      <c r="F10" s="82"/>
      <c r="G10" s="82"/>
      <c r="H10" s="82"/>
      <c r="I10" s="84"/>
      <c r="J10" s="82"/>
      <c r="K10" s="82"/>
      <c r="L10" s="82"/>
      <c r="M10" s="107"/>
      <c r="N10" s="107"/>
      <c r="O10" s="107"/>
    </row>
    <row r="11" spans="1:15" ht="12.75">
      <c r="A11" s="82"/>
      <c r="C11" s="89"/>
      <c r="D11" s="82"/>
      <c r="E11" s="82"/>
      <c r="F11" s="82"/>
      <c r="G11" s="82"/>
      <c r="H11" s="82"/>
      <c r="I11" s="84"/>
      <c r="J11" s="82"/>
      <c r="K11" s="82"/>
      <c r="L11" s="82"/>
      <c r="M11" s="107"/>
      <c r="N11" s="107"/>
      <c r="O11" s="107"/>
    </row>
    <row r="12" spans="1:15" ht="12.75">
      <c r="A12" s="82"/>
      <c r="B12" s="89"/>
      <c r="C12" s="89"/>
      <c r="D12" s="82"/>
      <c r="E12" s="90"/>
      <c r="F12" s="82"/>
      <c r="G12" s="82"/>
      <c r="H12" s="82"/>
      <c r="I12" s="84"/>
      <c r="J12" s="82"/>
      <c r="K12" s="82"/>
      <c r="L12" s="82"/>
      <c r="M12" s="107"/>
      <c r="N12" s="107"/>
      <c r="O12" s="107"/>
    </row>
    <row r="13" spans="1:15" ht="12.75">
      <c r="A13" s="82"/>
      <c r="B13" s="91" t="s">
        <v>22</v>
      </c>
      <c r="C13" s="89"/>
      <c r="D13" s="82"/>
      <c r="E13" s="90"/>
      <c r="F13" s="83"/>
      <c r="G13" s="84"/>
      <c r="H13" s="82"/>
      <c r="I13" s="84"/>
      <c r="J13" s="82"/>
      <c r="K13" s="82"/>
      <c r="L13" s="82"/>
      <c r="M13" s="107"/>
      <c r="N13" s="107"/>
      <c r="O13" s="107"/>
    </row>
    <row r="14" spans="1:15" ht="12.75">
      <c r="A14" s="82"/>
      <c r="B14" s="92">
        <f>NVTable_Data_Entry!B14</f>
        <v>0.6</v>
      </c>
      <c r="C14" s="84" t="s">
        <v>23</v>
      </c>
      <c r="D14" s="82"/>
      <c r="E14" s="90"/>
      <c r="F14" s="82"/>
      <c r="G14" s="82"/>
      <c r="H14" s="84"/>
      <c r="I14" s="84"/>
      <c r="J14" s="82"/>
      <c r="K14" s="82"/>
      <c r="L14" s="82"/>
      <c r="M14" s="107"/>
      <c r="N14" s="107"/>
      <c r="O14" s="107"/>
    </row>
    <row r="15" spans="1:15" ht="12.75">
      <c r="A15" s="93"/>
      <c r="B15" s="84"/>
      <c r="C15" s="84"/>
      <c r="D15" s="82"/>
      <c r="E15" s="82"/>
      <c r="F15" s="82"/>
      <c r="G15" s="82"/>
      <c r="H15" s="82"/>
      <c r="I15" s="84"/>
      <c r="J15" s="82"/>
      <c r="K15" s="82"/>
      <c r="L15" s="82"/>
      <c r="M15" s="107"/>
      <c r="N15" s="107"/>
      <c r="O15" s="107"/>
    </row>
    <row r="16" spans="1:15" ht="12.75">
      <c r="A16" s="93"/>
      <c r="B16" s="94" t="s">
        <v>0</v>
      </c>
      <c r="C16" s="94" t="s">
        <v>2</v>
      </c>
      <c r="D16" s="82"/>
      <c r="E16" s="95" t="s">
        <v>24</v>
      </c>
      <c r="F16" s="82"/>
      <c r="G16" s="96"/>
      <c r="H16" s="82"/>
      <c r="I16" s="82"/>
      <c r="J16" s="82"/>
      <c r="K16" s="82"/>
      <c r="L16" s="82"/>
      <c r="M16" s="107"/>
      <c r="N16" s="107"/>
      <c r="O16" s="107"/>
    </row>
    <row r="17" spans="1:15" ht="12.75">
      <c r="A17" s="82"/>
      <c r="B17" s="97">
        <f>$C$8/$B$8</f>
        <v>2.1875</v>
      </c>
      <c r="C17" s="85">
        <f>NVTable_Data_Entry!C17</f>
        <v>90</v>
      </c>
      <c r="D17" s="82"/>
      <c r="E17" s="98" t="str">
        <f>NVTable_Data_Entry!E17</f>
        <v>OSU</v>
      </c>
      <c r="F17" s="99"/>
      <c r="G17" s="99"/>
      <c r="H17" s="100"/>
      <c r="I17" s="82"/>
      <c r="J17" s="82"/>
      <c r="K17" s="82"/>
      <c r="L17" s="82"/>
      <c r="M17" s="107"/>
      <c r="N17" s="107"/>
      <c r="O17" s="107"/>
    </row>
    <row r="18" spans="1:15" ht="12.75">
      <c r="A18" s="82"/>
      <c r="B18" s="84"/>
      <c r="C18" s="84"/>
      <c r="D18" s="82"/>
      <c r="E18" s="82"/>
      <c r="F18" s="82"/>
      <c r="G18" s="96"/>
      <c r="H18" s="82"/>
      <c r="I18" s="82"/>
      <c r="J18" s="82"/>
      <c r="K18" s="82"/>
      <c r="L18" s="82"/>
      <c r="M18" s="107"/>
      <c r="N18" s="107"/>
      <c r="O18" s="107"/>
    </row>
    <row r="19" spans="1:15" ht="12.75">
      <c r="A19" s="82"/>
      <c r="B19" s="83" t="s">
        <v>13</v>
      </c>
      <c r="C19" s="91"/>
      <c r="D19" s="82"/>
      <c r="E19" s="95" t="s">
        <v>25</v>
      </c>
      <c r="F19" s="82"/>
      <c r="G19" s="83"/>
      <c r="H19" s="84"/>
      <c r="I19" s="84"/>
      <c r="J19" s="82"/>
      <c r="K19" s="82"/>
      <c r="L19" s="82"/>
      <c r="M19" s="107"/>
      <c r="N19" s="107"/>
      <c r="O19" s="107"/>
    </row>
    <row r="20" spans="1:15" ht="12.75">
      <c r="A20" s="82"/>
      <c r="B20" s="85">
        <f>NVTable_Data_Entry!B20</f>
        <v>90</v>
      </c>
      <c r="C20" s="84"/>
      <c r="D20" s="82"/>
      <c r="E20" s="98" t="str">
        <f>NVTable_Data_Entry!E20</f>
        <v>JD 2520</v>
      </c>
      <c r="F20" s="101"/>
      <c r="G20" s="102"/>
      <c r="H20" s="103"/>
      <c r="I20" s="84"/>
      <c r="J20" s="82"/>
      <c r="K20" s="82"/>
      <c r="L20" s="82"/>
      <c r="M20" s="107"/>
      <c r="N20" s="107"/>
      <c r="O20" s="107"/>
    </row>
    <row r="21" spans="1:15" ht="12.75">
      <c r="A21" s="82"/>
      <c r="B21" s="82"/>
      <c r="C21" s="82"/>
      <c r="D21" s="82"/>
      <c r="E21" s="82"/>
      <c r="F21" s="82"/>
      <c r="G21" s="83"/>
      <c r="H21" s="82"/>
      <c r="I21" s="84"/>
      <c r="J21" s="82"/>
      <c r="K21" s="82"/>
      <c r="L21" s="82"/>
      <c r="M21" s="107"/>
      <c r="N21" s="107"/>
      <c r="O21" s="107"/>
    </row>
    <row r="22" spans="1:15" ht="13.5" thickBot="1">
      <c r="A22" s="82"/>
      <c r="B22" s="96" t="s">
        <v>53</v>
      </c>
      <c r="C22" s="96" t="s">
        <v>65</v>
      </c>
      <c r="D22" s="96" t="s">
        <v>177</v>
      </c>
      <c r="E22" s="95" t="s">
        <v>38</v>
      </c>
      <c r="F22" s="82"/>
      <c r="G22" s="96"/>
      <c r="H22" s="84"/>
      <c r="I22" s="84"/>
      <c r="J22" s="82"/>
      <c r="K22" s="82"/>
      <c r="L22" s="82"/>
      <c r="M22" s="107"/>
      <c r="N22" s="107"/>
      <c r="O22" s="107"/>
    </row>
    <row r="23" spans="1:15" ht="13.5" thickBot="1">
      <c r="A23" s="82"/>
      <c r="B23" s="104" t="str">
        <f>NVTable_Data_Entry!B23</f>
        <v>n</v>
      </c>
      <c r="C23" s="174">
        <f>NVTable_Data_Entry!C23</f>
        <v>5</v>
      </c>
      <c r="D23" s="166">
        <f>PSTable_New!E26</f>
        <v>2.99</v>
      </c>
      <c r="E23" s="98" t="str">
        <f>NVTable_Data_Entry!E23</f>
        <v>testcorn</v>
      </c>
      <c r="F23" s="82"/>
      <c r="G23" s="82"/>
      <c r="H23" s="84"/>
      <c r="I23" s="84"/>
      <c r="J23" s="82"/>
      <c r="K23" s="82"/>
      <c r="L23" s="82"/>
      <c r="M23" s="107"/>
      <c r="N23" s="107"/>
      <c r="O23" s="107"/>
    </row>
    <row r="24" spans="1:15" ht="12.75">
      <c r="A24" s="82"/>
      <c r="B24" s="82"/>
      <c r="C24" s="82"/>
      <c r="D24" s="82"/>
      <c r="E24" s="82"/>
      <c r="F24" s="82"/>
      <c r="G24" s="82"/>
      <c r="H24" s="84"/>
      <c r="I24" s="84"/>
      <c r="J24" s="82"/>
      <c r="K24" s="82"/>
      <c r="L24" s="82"/>
      <c r="M24" s="107"/>
      <c r="N24" s="107"/>
      <c r="O24" s="107"/>
    </row>
    <row r="25" spans="1:15" ht="13.5" thickBot="1">
      <c r="A25" s="82"/>
      <c r="B25" s="96" t="s">
        <v>54</v>
      </c>
      <c r="C25" s="96" t="s">
        <v>55</v>
      </c>
      <c r="D25" s="82"/>
      <c r="E25" s="63" t="s">
        <v>91</v>
      </c>
      <c r="F25" s="82"/>
      <c r="G25" s="82"/>
      <c r="H25" s="84"/>
      <c r="I25" s="84"/>
      <c r="J25" s="82"/>
      <c r="K25" s="82"/>
      <c r="L25" s="82"/>
      <c r="M25" s="107"/>
      <c r="N25" s="107"/>
      <c r="O25" s="107"/>
    </row>
    <row r="26" spans="1:15" ht="13.5" thickBot="1">
      <c r="A26" s="82"/>
      <c r="B26" s="104" t="str">
        <f>NVTable_Data_Entry!B26</f>
        <v>n</v>
      </c>
      <c r="C26" s="104">
        <f>NVTable_Data_Entry!C26</f>
        <v>7</v>
      </c>
      <c r="D26" s="82"/>
      <c r="E26" s="49">
        <f>NVTable_Data_Entry!D31</f>
        <v>24</v>
      </c>
      <c r="F26" s="82"/>
      <c r="G26" s="82"/>
      <c r="H26" s="84"/>
      <c r="I26" s="84"/>
      <c r="J26" s="82"/>
      <c r="K26" s="82"/>
      <c r="L26" s="82"/>
      <c r="M26" s="107"/>
      <c r="N26" s="107"/>
      <c r="O26" s="107"/>
    </row>
    <row r="27" spans="1:15" ht="13.5" thickBot="1">
      <c r="A27" s="82"/>
      <c r="B27" s="82"/>
      <c r="C27" s="82"/>
      <c r="D27" s="82"/>
      <c r="E27" s="82"/>
      <c r="F27" s="82"/>
      <c r="G27" s="82"/>
      <c r="H27" s="84"/>
      <c r="I27" s="84"/>
      <c r="J27" s="82"/>
      <c r="K27" s="82"/>
      <c r="L27" s="82"/>
      <c r="M27" s="107"/>
      <c r="N27" s="107"/>
      <c r="O27" s="107"/>
    </row>
    <row r="28" spans="1:15" ht="13.5" thickTop="1">
      <c r="A28" s="105"/>
      <c r="B28" s="105"/>
      <c r="C28" s="105"/>
      <c r="D28" s="105"/>
      <c r="E28" s="105"/>
      <c r="F28" s="105"/>
      <c r="G28" s="105"/>
      <c r="H28" s="106"/>
      <c r="I28" s="106"/>
      <c r="J28" s="105"/>
      <c r="K28" s="105"/>
      <c r="L28" s="105"/>
      <c r="M28" s="107"/>
      <c r="N28" s="107"/>
      <c r="O28" s="107"/>
    </row>
    <row r="29" spans="1:15" ht="12.75">
      <c r="A29" s="107" t="s">
        <v>14</v>
      </c>
      <c r="B29" s="107"/>
      <c r="C29" s="107"/>
      <c r="D29" s="108" t="s">
        <v>18</v>
      </c>
      <c r="E29" s="107"/>
      <c r="F29" s="107"/>
      <c r="G29" s="107"/>
      <c r="H29" s="109"/>
      <c r="I29" s="109"/>
      <c r="J29" s="107"/>
      <c r="K29" s="107"/>
      <c r="L29" s="107"/>
      <c r="M29" s="107"/>
      <c r="N29" s="107"/>
      <c r="O29" s="107"/>
    </row>
    <row r="30" spans="1:15" ht="12.75">
      <c r="A30" s="108" t="s">
        <v>19</v>
      </c>
      <c r="B30" s="107"/>
      <c r="C30" s="107"/>
      <c r="D30" s="108" t="s">
        <v>17</v>
      </c>
      <c r="E30" s="107"/>
      <c r="F30" s="107"/>
      <c r="G30" s="107"/>
      <c r="H30" s="109"/>
      <c r="I30" s="109"/>
      <c r="J30" s="107"/>
      <c r="K30" s="107"/>
      <c r="L30" s="107"/>
      <c r="M30" s="107"/>
      <c r="N30" s="107"/>
      <c r="O30" s="107"/>
    </row>
    <row r="31" spans="1:15" ht="12.75">
      <c r="A31" s="109"/>
      <c r="B31" s="107"/>
      <c r="C31" s="107"/>
      <c r="D31" s="107"/>
      <c r="E31" s="107"/>
      <c r="F31" s="107"/>
      <c r="G31" s="107"/>
      <c r="H31" s="109"/>
      <c r="I31" s="109"/>
      <c r="J31" s="107"/>
      <c r="K31" s="107"/>
      <c r="L31" s="107"/>
      <c r="M31" s="107"/>
      <c r="N31" s="107"/>
      <c r="O31" s="107"/>
    </row>
    <row r="32" spans="1:15" ht="12.75">
      <c r="A32" s="110" t="s">
        <v>42</v>
      </c>
      <c r="B32" s="107"/>
      <c r="C32" s="107"/>
      <c r="D32" s="107"/>
      <c r="E32" s="107"/>
      <c r="F32" s="107"/>
      <c r="G32" s="107"/>
      <c r="H32" s="109"/>
      <c r="I32" s="109"/>
      <c r="J32" s="107"/>
      <c r="K32" s="107"/>
      <c r="L32" s="107"/>
      <c r="M32" s="107"/>
      <c r="N32" s="107"/>
      <c r="O32" s="107"/>
    </row>
    <row r="33" spans="1:15" ht="13.5" thickBot="1">
      <c r="A33" s="249" t="s">
        <v>8</v>
      </c>
      <c r="B33" s="249"/>
      <c r="C33" s="249"/>
      <c r="D33" s="249"/>
      <c r="E33" s="249"/>
      <c r="F33" s="249"/>
      <c r="G33" s="111"/>
      <c r="H33" s="249" t="s">
        <v>7</v>
      </c>
      <c r="I33" s="250"/>
      <c r="J33" s="250"/>
      <c r="K33" s="112"/>
      <c r="L33" s="111"/>
      <c r="M33" s="107"/>
      <c r="N33" s="107"/>
      <c r="O33" s="107"/>
    </row>
    <row r="34" spans="1:15" ht="12.75">
      <c r="A34" s="113"/>
      <c r="B34" s="113"/>
      <c r="C34" s="114"/>
      <c r="D34" s="113"/>
      <c r="E34" s="113"/>
      <c r="F34" s="113"/>
      <c r="G34" s="114"/>
      <c r="H34" s="113"/>
      <c r="I34" s="115"/>
      <c r="J34" s="115"/>
      <c r="K34" s="115"/>
      <c r="L34" s="111"/>
      <c r="M34" s="107"/>
      <c r="N34" s="107"/>
      <c r="O34" s="107"/>
    </row>
    <row r="35" spans="1:15" ht="12.75">
      <c r="A35" s="116" t="s">
        <v>6</v>
      </c>
      <c r="B35" s="116" t="s">
        <v>1</v>
      </c>
      <c r="C35" s="116"/>
      <c r="D35" s="116"/>
      <c r="E35" s="116"/>
      <c r="F35" s="117"/>
      <c r="G35" s="116"/>
      <c r="H35" s="116" t="s">
        <v>4</v>
      </c>
      <c r="I35" s="116" t="s">
        <v>5</v>
      </c>
      <c r="J35" s="116"/>
      <c r="K35" s="116" t="s">
        <v>4</v>
      </c>
      <c r="L35" s="116" t="s">
        <v>49</v>
      </c>
      <c r="M35" s="175"/>
      <c r="N35" s="119"/>
      <c r="O35" s="111"/>
    </row>
    <row r="36" spans="1:15" ht="12.75">
      <c r="A36" s="111">
        <v>0</v>
      </c>
      <c r="B36" s="111">
        <v>0.25</v>
      </c>
      <c r="C36" s="111"/>
      <c r="D36" s="111"/>
      <c r="E36" s="111"/>
      <c r="F36" s="111"/>
      <c r="G36" s="111"/>
      <c r="H36" s="211">
        <v>0</v>
      </c>
      <c r="I36" s="111">
        <f>LOOKUP(H36,$K$36:$K$43,$L$36:$L$43)</f>
        <v>0</v>
      </c>
      <c r="J36" s="111"/>
      <c r="K36" s="118">
        <v>0</v>
      </c>
      <c r="L36" s="118">
        <v>0</v>
      </c>
      <c r="M36" s="176"/>
      <c r="N36" s="119"/>
      <c r="O36" s="111"/>
    </row>
    <row r="37" spans="1:15" ht="12.75">
      <c r="A37" s="111">
        <v>1</v>
      </c>
      <c r="B37" s="111">
        <v>0.26</v>
      </c>
      <c r="C37" s="111"/>
      <c r="D37" s="111"/>
      <c r="E37" s="111"/>
      <c r="F37" s="111"/>
      <c r="G37" s="111"/>
      <c r="H37" s="211">
        <v>1</v>
      </c>
      <c r="I37" s="111">
        <f>LOOKUP(H37,$K$36:$K$43,$L$36:$L$43)</f>
        <v>14.575369347832464</v>
      </c>
      <c r="J37" s="111"/>
      <c r="K37" s="118">
        <v>1</v>
      </c>
      <c r="L37" s="118">
        <f>vs1</f>
        <v>14.575369347832464</v>
      </c>
      <c r="M37" s="118"/>
      <c r="N37" s="111"/>
      <c r="O37" s="111"/>
    </row>
    <row r="38" spans="1:15" ht="12.75">
      <c r="A38" s="111">
        <v>2</v>
      </c>
      <c r="B38" s="111">
        <v>0.27</v>
      </c>
      <c r="C38" s="111"/>
      <c r="D38" s="111"/>
      <c r="E38" s="111"/>
      <c r="F38" s="111"/>
      <c r="G38" s="111"/>
      <c r="H38" s="211">
        <v>1</v>
      </c>
      <c r="I38" s="111">
        <f aca="true" t="shared" si="0" ref="I38:I99">LOOKUP(H38,$K$36:$K$43,$L$36:$L$43)</f>
        <v>14.575369347832464</v>
      </c>
      <c r="J38" s="111"/>
      <c r="K38" s="118">
        <v>2</v>
      </c>
      <c r="L38" s="118">
        <f>vs2</f>
        <v>28.763107784292856</v>
      </c>
      <c r="M38" s="118"/>
      <c r="N38" s="111"/>
      <c r="O38" s="111"/>
    </row>
    <row r="39" spans="1:15" ht="12.75">
      <c r="A39" s="111">
        <v>3</v>
      </c>
      <c r="B39" s="111">
        <v>0.28</v>
      </c>
      <c r="C39" s="111"/>
      <c r="D39" s="111"/>
      <c r="E39" s="111"/>
      <c r="F39" s="111"/>
      <c r="G39" s="111"/>
      <c r="H39" s="211">
        <v>1</v>
      </c>
      <c r="I39" s="111">
        <f t="shared" si="0"/>
        <v>14.575369347832464</v>
      </c>
      <c r="J39" s="111"/>
      <c r="K39" s="118">
        <v>3</v>
      </c>
      <c r="L39" s="118">
        <f>vs3</f>
        <v>43.3384771321253</v>
      </c>
      <c r="M39" s="118"/>
      <c r="N39" s="111"/>
      <c r="O39" s="111"/>
    </row>
    <row r="40" spans="1:15" ht="12.75">
      <c r="A40" s="111">
        <v>4</v>
      </c>
      <c r="B40" s="111">
        <v>0.29</v>
      </c>
      <c r="C40" s="111"/>
      <c r="D40" s="111"/>
      <c r="E40" s="111"/>
      <c r="F40" s="111"/>
      <c r="G40" s="111"/>
      <c r="H40" s="211">
        <v>1</v>
      </c>
      <c r="I40" s="111">
        <f t="shared" si="0"/>
        <v>14.575369347832464</v>
      </c>
      <c r="J40" s="111"/>
      <c r="K40" s="118">
        <v>4</v>
      </c>
      <c r="L40" s="118">
        <f>vs4</f>
        <v>57.34773521845503</v>
      </c>
      <c r="M40" s="118"/>
      <c r="N40" s="111"/>
      <c r="O40" s="111"/>
    </row>
    <row r="41" spans="1:15" ht="12.75">
      <c r="A41" s="111">
        <v>5</v>
      </c>
      <c r="B41" s="111">
        <v>0.3</v>
      </c>
      <c r="C41" s="111"/>
      <c r="D41" s="111"/>
      <c r="E41" s="111"/>
      <c r="F41" s="111"/>
      <c r="G41" s="111"/>
      <c r="H41" s="211">
        <v>1</v>
      </c>
      <c r="I41" s="111">
        <f t="shared" si="0"/>
        <v>14.575369347832464</v>
      </c>
      <c r="J41" s="111"/>
      <c r="K41" s="118">
        <v>5</v>
      </c>
      <c r="L41" s="118">
        <f>vs5</f>
        <v>71.9231045662875</v>
      </c>
      <c r="M41" s="118"/>
      <c r="N41" s="111"/>
      <c r="O41" s="111"/>
    </row>
    <row r="42" spans="1:15" ht="12.75">
      <c r="A42" s="111">
        <v>6</v>
      </c>
      <c r="B42" s="111">
        <v>0.31</v>
      </c>
      <c r="C42" s="111"/>
      <c r="D42" s="111"/>
      <c r="E42" s="111"/>
      <c r="F42" s="111"/>
      <c r="G42" s="111"/>
      <c r="H42" s="211">
        <v>2</v>
      </c>
      <c r="I42" s="111">
        <f t="shared" si="0"/>
        <v>28.763107784292856</v>
      </c>
      <c r="J42" s="111"/>
      <c r="K42" s="118">
        <v>6</v>
      </c>
      <c r="L42" s="118">
        <f>vs6</f>
        <v>86.11084300274787</v>
      </c>
      <c r="M42" s="118"/>
      <c r="N42" s="111"/>
      <c r="O42" s="111"/>
    </row>
    <row r="43" spans="1:15" ht="12.75">
      <c r="A43" s="111">
        <v>7</v>
      </c>
      <c r="B43" s="111">
        <v>0.32</v>
      </c>
      <c r="C43" s="111"/>
      <c r="D43" s="111"/>
      <c r="E43" s="111"/>
      <c r="F43" s="111"/>
      <c r="G43" s="111"/>
      <c r="H43" s="211">
        <v>2</v>
      </c>
      <c r="I43" s="111">
        <f t="shared" si="0"/>
        <v>28.763107784292856</v>
      </c>
      <c r="J43" s="111"/>
      <c r="K43" s="118">
        <v>7</v>
      </c>
      <c r="L43" s="118">
        <f>vs7</f>
        <v>100.68621235058032</v>
      </c>
      <c r="M43" s="118"/>
      <c r="N43" s="111"/>
      <c r="O43" s="111"/>
    </row>
    <row r="44" spans="1:15" ht="12.75">
      <c r="A44" s="111">
        <v>8</v>
      </c>
      <c r="B44" s="111">
        <v>0.33</v>
      </c>
      <c r="C44" s="111"/>
      <c r="D44" s="111"/>
      <c r="E44" s="111"/>
      <c r="F44" s="111"/>
      <c r="G44" s="111"/>
      <c r="H44" s="211">
        <v>2</v>
      </c>
      <c r="I44" s="111">
        <f t="shared" si="0"/>
        <v>28.763107784292856</v>
      </c>
      <c r="J44" s="111"/>
      <c r="K44" s="111"/>
      <c r="L44" s="119"/>
      <c r="M44" s="111"/>
      <c r="N44" s="111"/>
      <c r="O44" s="111"/>
    </row>
    <row r="45" spans="1:15" ht="12.75">
      <c r="A45" s="111">
        <v>9</v>
      </c>
      <c r="B45" s="111">
        <v>0.34</v>
      </c>
      <c r="C45" s="111"/>
      <c r="D45" s="111"/>
      <c r="E45" s="111"/>
      <c r="F45" s="111"/>
      <c r="G45" s="111"/>
      <c r="H45" s="211">
        <v>2</v>
      </c>
      <c r="I45" s="111">
        <f t="shared" si="0"/>
        <v>28.763107784292856</v>
      </c>
      <c r="J45" s="111"/>
      <c r="K45" s="111"/>
      <c r="L45" s="119"/>
      <c r="M45" s="111"/>
      <c r="N45" s="111"/>
      <c r="O45" s="111"/>
    </row>
    <row r="46" spans="1:15" ht="12.75">
      <c r="A46" s="111">
        <v>10</v>
      </c>
      <c r="B46" s="111">
        <v>0.35</v>
      </c>
      <c r="C46" s="111"/>
      <c r="D46" s="111"/>
      <c r="E46" s="111"/>
      <c r="F46" s="111"/>
      <c r="G46" s="111"/>
      <c r="H46" s="211">
        <v>2</v>
      </c>
      <c r="I46" s="111">
        <f t="shared" si="0"/>
        <v>28.763107784292856</v>
      </c>
      <c r="J46" s="111"/>
      <c r="K46" s="111"/>
      <c r="L46" s="119"/>
      <c r="M46" s="111"/>
      <c r="N46" s="111"/>
      <c r="O46" s="111"/>
    </row>
    <row r="47" spans="1:15" ht="12.75">
      <c r="A47" s="111">
        <v>11</v>
      </c>
      <c r="B47" s="111">
        <v>0.36</v>
      </c>
      <c r="C47" s="111"/>
      <c r="D47" s="111"/>
      <c r="E47" s="111"/>
      <c r="F47" s="111"/>
      <c r="G47" s="111"/>
      <c r="H47" s="211">
        <v>2</v>
      </c>
      <c r="I47" s="111">
        <f t="shared" si="0"/>
        <v>28.763107784292856</v>
      </c>
      <c r="J47" s="111"/>
      <c r="K47" s="111"/>
      <c r="L47" s="119"/>
      <c r="M47" s="111"/>
      <c r="N47" s="111"/>
      <c r="O47" s="111"/>
    </row>
    <row r="48" spans="1:15" ht="12.75">
      <c r="A48" s="111">
        <v>12</v>
      </c>
      <c r="B48" s="111">
        <v>0.37</v>
      </c>
      <c r="C48" s="111"/>
      <c r="D48" s="111"/>
      <c r="E48" s="111"/>
      <c r="F48" s="111"/>
      <c r="G48" s="111"/>
      <c r="H48" s="211">
        <v>2</v>
      </c>
      <c r="I48" s="111">
        <f t="shared" si="0"/>
        <v>28.763107784292856</v>
      </c>
      <c r="J48" s="111"/>
      <c r="L48" s="119"/>
      <c r="M48" s="111"/>
      <c r="N48" s="111"/>
      <c r="O48" s="111"/>
    </row>
    <row r="49" spans="1:15" ht="12.75">
      <c r="A49" s="111">
        <v>13</v>
      </c>
      <c r="B49" s="111">
        <v>0.38</v>
      </c>
      <c r="C49" s="111"/>
      <c r="D49" s="111"/>
      <c r="E49" s="111"/>
      <c r="F49" s="111"/>
      <c r="G49" s="111"/>
      <c r="H49" s="211">
        <v>2</v>
      </c>
      <c r="I49" s="111">
        <f t="shared" si="0"/>
        <v>28.763107784292856</v>
      </c>
      <c r="J49" s="111"/>
      <c r="K49" s="111"/>
      <c r="L49" s="111"/>
      <c r="M49" s="119"/>
      <c r="N49" s="111"/>
      <c r="O49" s="111"/>
    </row>
    <row r="50" spans="1:15" ht="12.75">
      <c r="A50" s="111">
        <v>14</v>
      </c>
      <c r="B50" s="111">
        <v>0.39</v>
      </c>
      <c r="C50" s="111"/>
      <c r="D50" s="111"/>
      <c r="E50" s="111"/>
      <c r="F50" s="111"/>
      <c r="G50" s="111"/>
      <c r="H50" s="211">
        <v>2</v>
      </c>
      <c r="I50" s="111">
        <f t="shared" si="0"/>
        <v>28.763107784292856</v>
      </c>
      <c r="J50" s="111"/>
      <c r="K50" s="111" t="s">
        <v>10</v>
      </c>
      <c r="L50" s="111"/>
      <c r="M50" s="111"/>
      <c r="N50" s="111"/>
      <c r="O50" s="111"/>
    </row>
    <row r="51" spans="1:15" ht="12.75">
      <c r="A51" s="111">
        <v>15</v>
      </c>
      <c r="B51" s="111">
        <v>0.4</v>
      </c>
      <c r="C51" s="111"/>
      <c r="D51" s="111"/>
      <c r="E51" s="111"/>
      <c r="F51" s="111"/>
      <c r="G51" s="111"/>
      <c r="H51" s="211">
        <v>2</v>
      </c>
      <c r="I51" s="111">
        <f t="shared" si="0"/>
        <v>28.763107784292856</v>
      </c>
      <c r="J51" s="111"/>
      <c r="K51" s="111"/>
      <c r="L51" s="111"/>
      <c r="M51" s="111"/>
      <c r="N51" s="111"/>
      <c r="O51" s="111"/>
    </row>
    <row r="52" spans="1:15" ht="12.75">
      <c r="A52" s="111">
        <v>16</v>
      </c>
      <c r="B52" s="111">
        <v>0.41</v>
      </c>
      <c r="C52" s="111"/>
      <c r="D52" s="111"/>
      <c r="E52" s="111"/>
      <c r="F52" s="111"/>
      <c r="G52" s="111"/>
      <c r="H52" s="211">
        <v>3</v>
      </c>
      <c r="I52" s="111">
        <f t="shared" si="0"/>
        <v>43.3384771321253</v>
      </c>
      <c r="J52" s="111"/>
      <c r="K52" s="111"/>
      <c r="L52" s="111"/>
      <c r="M52" s="111"/>
      <c r="N52" s="111"/>
      <c r="O52" s="111"/>
    </row>
    <row r="53" spans="1:15" ht="12.75">
      <c r="A53" s="111">
        <v>17</v>
      </c>
      <c r="B53" s="111">
        <v>0.42</v>
      </c>
      <c r="C53" s="111"/>
      <c r="D53" s="111"/>
      <c r="E53" s="111"/>
      <c r="F53" s="111"/>
      <c r="G53" s="111"/>
      <c r="H53" s="211">
        <v>3</v>
      </c>
      <c r="I53" s="111">
        <f t="shared" si="0"/>
        <v>43.3384771321253</v>
      </c>
      <c r="J53" s="111"/>
      <c r="K53" s="111"/>
      <c r="L53" s="111"/>
      <c r="M53" s="111"/>
      <c r="N53" s="111"/>
      <c r="O53" s="111"/>
    </row>
    <row r="54" spans="1:15" ht="12.75">
      <c r="A54" s="111">
        <v>18</v>
      </c>
      <c r="B54" s="111">
        <v>0.43</v>
      </c>
      <c r="C54" s="111"/>
      <c r="D54" s="111"/>
      <c r="E54" s="111"/>
      <c r="F54" s="111"/>
      <c r="G54" s="111"/>
      <c r="H54" s="211">
        <v>3</v>
      </c>
      <c r="I54" s="111">
        <f t="shared" si="0"/>
        <v>43.3384771321253</v>
      </c>
      <c r="J54" s="111"/>
      <c r="K54" s="111"/>
      <c r="L54" s="111"/>
      <c r="M54" s="111"/>
      <c r="N54" s="111"/>
      <c r="O54" s="111"/>
    </row>
    <row r="55" spans="1:15" ht="12.75">
      <c r="A55" s="111">
        <v>19</v>
      </c>
      <c r="B55" s="111">
        <v>0.44</v>
      </c>
      <c r="C55" s="111"/>
      <c r="D55" s="111"/>
      <c r="E55" s="111"/>
      <c r="F55" s="111"/>
      <c r="G55" s="111"/>
      <c r="H55" s="211">
        <v>3</v>
      </c>
      <c r="I55" s="111">
        <f t="shared" si="0"/>
        <v>43.3384771321253</v>
      </c>
      <c r="J55" s="111"/>
      <c r="K55" s="111"/>
      <c r="L55" s="111"/>
      <c r="M55" s="111"/>
      <c r="N55" s="111"/>
      <c r="O55" s="111"/>
    </row>
    <row r="56" spans="1:15" ht="12.75">
      <c r="A56" s="111">
        <v>20</v>
      </c>
      <c r="B56" s="111">
        <v>0.45</v>
      </c>
      <c r="C56" s="111"/>
      <c r="D56" s="111"/>
      <c r="E56" s="111"/>
      <c r="F56" s="111"/>
      <c r="G56" s="111"/>
      <c r="H56" s="211">
        <v>3</v>
      </c>
      <c r="I56" s="111">
        <f t="shared" si="0"/>
        <v>43.3384771321253</v>
      </c>
      <c r="J56" s="111"/>
      <c r="K56" s="111"/>
      <c r="L56" s="111"/>
      <c r="M56" s="111"/>
      <c r="N56" s="111"/>
      <c r="O56" s="111"/>
    </row>
    <row r="57" spans="1:15" ht="12.75">
      <c r="A57" s="111">
        <v>21</v>
      </c>
      <c r="B57" s="111">
        <v>0.46</v>
      </c>
      <c r="C57" s="111"/>
      <c r="D57" s="111"/>
      <c r="E57" s="111"/>
      <c r="F57" s="111"/>
      <c r="G57" s="111"/>
      <c r="H57" s="211">
        <v>3</v>
      </c>
      <c r="I57" s="111">
        <f t="shared" si="0"/>
        <v>43.3384771321253</v>
      </c>
      <c r="J57" s="111"/>
      <c r="K57" s="111"/>
      <c r="L57" s="111"/>
      <c r="M57" s="111"/>
      <c r="N57" s="111"/>
      <c r="O57" s="111"/>
    </row>
    <row r="58" spans="1:15" ht="12.75">
      <c r="A58" s="111">
        <v>22</v>
      </c>
      <c r="B58" s="111">
        <v>0.47</v>
      </c>
      <c r="C58" s="111"/>
      <c r="D58" s="111"/>
      <c r="E58" s="111"/>
      <c r="F58" s="111"/>
      <c r="G58" s="111"/>
      <c r="H58" s="211">
        <v>3</v>
      </c>
      <c r="I58" s="111">
        <f t="shared" si="0"/>
        <v>43.3384771321253</v>
      </c>
      <c r="J58" s="111"/>
      <c r="K58" s="111"/>
      <c r="L58" s="111"/>
      <c r="M58" s="111"/>
      <c r="N58" s="111"/>
      <c r="O58" s="111"/>
    </row>
    <row r="59" spans="1:15" ht="12.75">
      <c r="A59" s="111">
        <v>23</v>
      </c>
      <c r="B59" s="111">
        <v>0.48</v>
      </c>
      <c r="C59" s="111"/>
      <c r="D59" s="111"/>
      <c r="E59" s="111"/>
      <c r="F59" s="111"/>
      <c r="G59" s="111"/>
      <c r="H59" s="211">
        <v>3</v>
      </c>
      <c r="I59" s="111">
        <f t="shared" si="0"/>
        <v>43.3384771321253</v>
      </c>
      <c r="J59" s="111"/>
      <c r="K59" s="111"/>
      <c r="L59" s="111"/>
      <c r="M59" s="111"/>
      <c r="N59" s="111"/>
      <c r="O59" s="111"/>
    </row>
    <row r="60" spans="1:15" ht="12.75">
      <c r="A60" s="111">
        <v>24</v>
      </c>
      <c r="B60" s="111">
        <v>0.49</v>
      </c>
      <c r="C60" s="111"/>
      <c r="D60" s="111"/>
      <c r="E60" s="111"/>
      <c r="F60" s="111"/>
      <c r="G60" s="111"/>
      <c r="H60" s="211">
        <v>3</v>
      </c>
      <c r="I60" s="111">
        <f t="shared" si="0"/>
        <v>43.3384771321253</v>
      </c>
      <c r="J60" s="111"/>
      <c r="K60" s="111"/>
      <c r="L60" s="111"/>
      <c r="M60" s="111"/>
      <c r="N60" s="111"/>
      <c r="O60" s="111"/>
    </row>
    <row r="61" spans="1:15" ht="12.75">
      <c r="A61" s="111">
        <v>25</v>
      </c>
      <c r="B61" s="111">
        <v>0.5</v>
      </c>
      <c r="C61" s="111"/>
      <c r="D61" s="111"/>
      <c r="E61" s="111"/>
      <c r="F61" s="111"/>
      <c r="G61" s="111"/>
      <c r="H61" s="211">
        <v>3</v>
      </c>
      <c r="I61" s="111">
        <f t="shared" si="0"/>
        <v>43.3384771321253</v>
      </c>
      <c r="J61" s="111"/>
      <c r="K61" s="111"/>
      <c r="L61" s="111"/>
      <c r="M61" s="111"/>
      <c r="N61" s="111"/>
      <c r="O61" s="111"/>
    </row>
    <row r="62" spans="1:15" ht="12.75">
      <c r="A62" s="111">
        <v>26</v>
      </c>
      <c r="B62" s="111">
        <v>0.51</v>
      </c>
      <c r="C62" s="111"/>
      <c r="D62" s="111"/>
      <c r="E62" s="111"/>
      <c r="F62" s="111"/>
      <c r="G62" s="111"/>
      <c r="H62" s="211">
        <v>4</v>
      </c>
      <c r="I62" s="111">
        <f t="shared" si="0"/>
        <v>57.34773521845503</v>
      </c>
      <c r="J62" s="111"/>
      <c r="K62" s="111"/>
      <c r="L62" s="111"/>
      <c r="M62" s="111"/>
      <c r="N62" s="111"/>
      <c r="O62" s="111"/>
    </row>
    <row r="63" spans="1:15" ht="12.75">
      <c r="A63" s="111">
        <v>27</v>
      </c>
      <c r="B63" s="111">
        <v>0.52</v>
      </c>
      <c r="C63" s="111"/>
      <c r="D63" s="111"/>
      <c r="E63" s="111"/>
      <c r="F63" s="111"/>
      <c r="G63" s="111"/>
      <c r="H63" s="211">
        <v>4</v>
      </c>
      <c r="I63" s="111">
        <f t="shared" si="0"/>
        <v>57.34773521845503</v>
      </c>
      <c r="J63" s="111"/>
      <c r="K63" s="111"/>
      <c r="L63" s="111"/>
      <c r="M63" s="111"/>
      <c r="N63" s="111"/>
      <c r="O63" s="111"/>
    </row>
    <row r="64" spans="1:15" ht="12.75">
      <c r="A64" s="111">
        <v>28</v>
      </c>
      <c r="B64" s="111">
        <v>0.53</v>
      </c>
      <c r="C64" s="111"/>
      <c r="D64" s="111"/>
      <c r="E64" s="111"/>
      <c r="F64" s="111"/>
      <c r="G64" s="111"/>
      <c r="H64" s="211">
        <v>4</v>
      </c>
      <c r="I64" s="111">
        <f t="shared" si="0"/>
        <v>57.34773521845503</v>
      </c>
      <c r="J64" s="111"/>
      <c r="K64" s="111"/>
      <c r="L64" s="111"/>
      <c r="M64" s="111"/>
      <c r="N64" s="111"/>
      <c r="O64" s="111"/>
    </row>
    <row r="65" spans="1:15" ht="12.75">
      <c r="A65" s="111">
        <v>29</v>
      </c>
      <c r="B65" s="111">
        <v>0.54</v>
      </c>
      <c r="C65" s="111"/>
      <c r="D65" s="111"/>
      <c r="E65" s="111"/>
      <c r="F65" s="111"/>
      <c r="G65" s="111"/>
      <c r="H65" s="211">
        <v>4</v>
      </c>
      <c r="I65" s="111">
        <f t="shared" si="0"/>
        <v>57.34773521845503</v>
      </c>
      <c r="J65" s="111"/>
      <c r="K65" s="111"/>
      <c r="L65" s="111"/>
      <c r="M65" s="111"/>
      <c r="N65" s="111"/>
      <c r="O65" s="111"/>
    </row>
    <row r="66" spans="1:15" ht="12.75">
      <c r="A66" s="111">
        <v>30</v>
      </c>
      <c r="B66" s="111">
        <v>0.55</v>
      </c>
      <c r="C66" s="111"/>
      <c r="D66" s="111"/>
      <c r="E66" s="111"/>
      <c r="F66" s="111"/>
      <c r="G66" s="111"/>
      <c r="H66" s="211">
        <v>4</v>
      </c>
      <c r="I66" s="111">
        <f t="shared" si="0"/>
        <v>57.34773521845503</v>
      </c>
      <c r="J66" s="111"/>
      <c r="K66" s="111"/>
      <c r="L66" s="111"/>
      <c r="M66" s="111"/>
      <c r="N66" s="111"/>
      <c r="O66" s="111"/>
    </row>
    <row r="67" spans="1:15" ht="12.75">
      <c r="A67" s="111">
        <v>31</v>
      </c>
      <c r="B67" s="111">
        <v>0.56</v>
      </c>
      <c r="C67" s="111"/>
      <c r="D67" s="111"/>
      <c r="E67" s="111"/>
      <c r="F67" s="111"/>
      <c r="G67" s="111"/>
      <c r="H67" s="211">
        <v>4</v>
      </c>
      <c r="I67" s="111">
        <f t="shared" si="0"/>
        <v>57.34773521845503</v>
      </c>
      <c r="J67" s="111"/>
      <c r="K67" s="111"/>
      <c r="L67" s="111"/>
      <c r="M67" s="111"/>
      <c r="N67" s="111"/>
      <c r="O67" s="111"/>
    </row>
    <row r="68" spans="1:15" ht="12.75">
      <c r="A68" s="111">
        <v>32</v>
      </c>
      <c r="B68" s="111">
        <v>0.57</v>
      </c>
      <c r="C68" s="111"/>
      <c r="D68" s="111"/>
      <c r="E68" s="111"/>
      <c r="F68" s="111"/>
      <c r="G68" s="111"/>
      <c r="H68" s="211">
        <v>4</v>
      </c>
      <c r="I68" s="111">
        <f t="shared" si="0"/>
        <v>57.34773521845503</v>
      </c>
      <c r="J68" s="111"/>
      <c r="K68" s="111"/>
      <c r="L68" s="111"/>
      <c r="M68" s="111"/>
      <c r="N68" s="111"/>
      <c r="O68" s="111"/>
    </row>
    <row r="69" spans="1:15" ht="12.75">
      <c r="A69" s="111">
        <v>33</v>
      </c>
      <c r="B69" s="111">
        <v>0.58</v>
      </c>
      <c r="C69" s="111"/>
      <c r="D69" s="111"/>
      <c r="E69" s="111"/>
      <c r="F69" s="111"/>
      <c r="G69" s="111"/>
      <c r="H69" s="211">
        <v>4</v>
      </c>
      <c r="I69" s="111">
        <f t="shared" si="0"/>
        <v>57.34773521845503</v>
      </c>
      <c r="J69" s="111"/>
      <c r="K69" s="111"/>
      <c r="L69" s="111"/>
      <c r="M69" s="111"/>
      <c r="N69" s="111"/>
      <c r="O69" s="111"/>
    </row>
    <row r="70" spans="1:15" ht="12.75">
      <c r="A70" s="111">
        <v>34</v>
      </c>
      <c r="B70" s="111">
        <v>0.59</v>
      </c>
      <c r="C70" s="111"/>
      <c r="D70" s="111"/>
      <c r="E70" s="111"/>
      <c r="F70" s="111"/>
      <c r="G70" s="111"/>
      <c r="H70" s="211">
        <v>4</v>
      </c>
      <c r="I70" s="111">
        <f t="shared" si="0"/>
        <v>57.34773521845503</v>
      </c>
      <c r="J70" s="111"/>
      <c r="K70" s="111"/>
      <c r="L70" s="111"/>
      <c r="M70" s="111"/>
      <c r="N70" s="111"/>
      <c r="O70" s="111"/>
    </row>
    <row r="71" spans="1:15" ht="12.75">
      <c r="A71" s="111">
        <v>35</v>
      </c>
      <c r="B71" s="111">
        <v>0.6</v>
      </c>
      <c r="C71" s="111"/>
      <c r="D71" s="111"/>
      <c r="E71" s="111"/>
      <c r="F71" s="111"/>
      <c r="G71" s="111"/>
      <c r="H71" s="211">
        <v>4</v>
      </c>
      <c r="I71" s="111">
        <f t="shared" si="0"/>
        <v>57.34773521845503</v>
      </c>
      <c r="J71" s="111"/>
      <c r="K71" s="111"/>
      <c r="L71" s="111"/>
      <c r="M71" s="111"/>
      <c r="N71" s="111"/>
      <c r="O71" s="111"/>
    </row>
    <row r="72" spans="1:15" ht="12.75">
      <c r="A72" s="111">
        <v>36</v>
      </c>
      <c r="B72" s="111">
        <v>0.61</v>
      </c>
      <c r="C72" s="111"/>
      <c r="D72" s="111"/>
      <c r="E72" s="111"/>
      <c r="F72" s="111"/>
      <c r="G72" s="111"/>
      <c r="H72" s="211">
        <v>5</v>
      </c>
      <c r="I72" s="111">
        <f t="shared" si="0"/>
        <v>71.9231045662875</v>
      </c>
      <c r="J72" s="111"/>
      <c r="K72" s="111"/>
      <c r="L72" s="111"/>
      <c r="M72" s="111"/>
      <c r="N72" s="111"/>
      <c r="O72" s="111"/>
    </row>
    <row r="73" spans="1:15" ht="12.75">
      <c r="A73" s="111">
        <v>37</v>
      </c>
      <c r="B73" s="111">
        <v>0.62</v>
      </c>
      <c r="C73" s="111"/>
      <c r="D73" s="111"/>
      <c r="E73" s="111"/>
      <c r="F73" s="111"/>
      <c r="G73" s="111"/>
      <c r="H73" s="211">
        <v>5</v>
      </c>
      <c r="I73" s="111">
        <f t="shared" si="0"/>
        <v>71.9231045662875</v>
      </c>
      <c r="J73" s="111"/>
      <c r="K73" s="111"/>
      <c r="L73" s="111"/>
      <c r="M73" s="111"/>
      <c r="N73" s="111"/>
      <c r="O73" s="111"/>
    </row>
    <row r="74" spans="1:15" ht="12.75">
      <c r="A74" s="111">
        <v>38</v>
      </c>
      <c r="B74" s="111">
        <v>0.63</v>
      </c>
      <c r="C74" s="111"/>
      <c r="D74" s="111"/>
      <c r="E74" s="111"/>
      <c r="F74" s="111"/>
      <c r="G74" s="111"/>
      <c r="H74" s="211">
        <v>5</v>
      </c>
      <c r="I74" s="111">
        <f t="shared" si="0"/>
        <v>71.9231045662875</v>
      </c>
      <c r="J74" s="111"/>
      <c r="K74" s="111"/>
      <c r="L74" s="111"/>
      <c r="M74" s="111"/>
      <c r="N74" s="111"/>
      <c r="O74" s="111"/>
    </row>
    <row r="75" spans="1:15" ht="12.75">
      <c r="A75" s="111">
        <v>39</v>
      </c>
      <c r="B75" s="111">
        <v>0.64</v>
      </c>
      <c r="C75" s="111"/>
      <c r="D75" s="111"/>
      <c r="E75" s="111"/>
      <c r="F75" s="111"/>
      <c r="G75" s="111"/>
      <c r="H75" s="211">
        <v>5</v>
      </c>
      <c r="I75" s="111">
        <f t="shared" si="0"/>
        <v>71.9231045662875</v>
      </c>
      <c r="J75" s="111"/>
      <c r="K75" s="111"/>
      <c r="L75" s="111"/>
      <c r="M75" s="111"/>
      <c r="N75" s="111"/>
      <c r="O75" s="111"/>
    </row>
    <row r="76" spans="1:15" ht="12.75">
      <c r="A76" s="111">
        <v>40</v>
      </c>
      <c r="B76" s="111">
        <v>0.65</v>
      </c>
      <c r="C76" s="111"/>
      <c r="D76" s="111"/>
      <c r="E76" s="111"/>
      <c r="F76" s="111"/>
      <c r="G76" s="111"/>
      <c r="H76" s="211">
        <v>5</v>
      </c>
      <c r="I76" s="111">
        <f t="shared" si="0"/>
        <v>71.9231045662875</v>
      </c>
      <c r="J76" s="111"/>
      <c r="K76" s="111"/>
      <c r="L76" s="111"/>
      <c r="M76" s="111"/>
      <c r="N76" s="111"/>
      <c r="O76" s="111"/>
    </row>
    <row r="77" spans="1:15" ht="12.75">
      <c r="A77" s="111">
        <v>41</v>
      </c>
      <c r="B77" s="111">
        <v>0.66</v>
      </c>
      <c r="C77" s="111"/>
      <c r="D77" s="111"/>
      <c r="E77" s="111"/>
      <c r="F77" s="111"/>
      <c r="G77" s="111"/>
      <c r="H77" s="211">
        <v>5</v>
      </c>
      <c r="I77" s="111">
        <f t="shared" si="0"/>
        <v>71.9231045662875</v>
      </c>
      <c r="J77" s="111"/>
      <c r="K77" s="111"/>
      <c r="L77" s="111"/>
      <c r="M77" s="111"/>
      <c r="N77" s="111"/>
      <c r="O77" s="111"/>
    </row>
    <row r="78" spans="1:15" ht="12.75">
      <c r="A78" s="111">
        <v>42</v>
      </c>
      <c r="B78" s="111">
        <v>0.67</v>
      </c>
      <c r="C78" s="111"/>
      <c r="D78" s="111"/>
      <c r="E78" s="111"/>
      <c r="F78" s="111"/>
      <c r="G78" s="111"/>
      <c r="H78" s="211">
        <v>5</v>
      </c>
      <c r="I78" s="111">
        <f t="shared" si="0"/>
        <v>71.9231045662875</v>
      </c>
      <c r="J78" s="111"/>
      <c r="K78" s="111"/>
      <c r="L78" s="111"/>
      <c r="M78" s="111"/>
      <c r="N78" s="111"/>
      <c r="O78" s="111"/>
    </row>
    <row r="79" spans="1:15" ht="12.75">
      <c r="A79" s="111">
        <v>43</v>
      </c>
      <c r="B79" s="111">
        <v>0.68</v>
      </c>
      <c r="C79" s="111"/>
      <c r="D79" s="111"/>
      <c r="E79" s="111"/>
      <c r="F79" s="111"/>
      <c r="G79" s="111"/>
      <c r="H79" s="211">
        <v>5</v>
      </c>
      <c r="I79" s="111">
        <f t="shared" si="0"/>
        <v>71.9231045662875</v>
      </c>
      <c r="J79" s="111"/>
      <c r="K79" s="111"/>
      <c r="L79" s="111"/>
      <c r="M79" s="111"/>
      <c r="N79" s="111"/>
      <c r="O79" s="111"/>
    </row>
    <row r="80" spans="1:15" ht="12.75">
      <c r="A80" s="111">
        <v>44</v>
      </c>
      <c r="B80" s="111">
        <v>0.69</v>
      </c>
      <c r="C80" s="111"/>
      <c r="D80" s="111"/>
      <c r="E80" s="111"/>
      <c r="F80" s="111"/>
      <c r="G80" s="111"/>
      <c r="H80" s="211">
        <v>5</v>
      </c>
      <c r="I80" s="111">
        <f t="shared" si="0"/>
        <v>71.9231045662875</v>
      </c>
      <c r="J80" s="111"/>
      <c r="K80" s="111"/>
      <c r="L80" s="111"/>
      <c r="M80" s="111"/>
      <c r="N80" s="111"/>
      <c r="O80" s="111"/>
    </row>
    <row r="81" spans="1:15" ht="12.75">
      <c r="A81" s="111">
        <v>45</v>
      </c>
      <c r="B81" s="111">
        <v>0.7</v>
      </c>
      <c r="C81" s="111"/>
      <c r="D81" s="111"/>
      <c r="E81" s="111"/>
      <c r="F81" s="111"/>
      <c r="G81" s="111"/>
      <c r="H81" s="211">
        <v>5</v>
      </c>
      <c r="I81" s="111">
        <f t="shared" si="0"/>
        <v>71.9231045662875</v>
      </c>
      <c r="J81" s="111"/>
      <c r="K81" s="111"/>
      <c r="L81" s="111"/>
      <c r="M81" s="111"/>
      <c r="N81" s="111"/>
      <c r="O81" s="111"/>
    </row>
    <row r="82" spans="1:15" ht="12.75">
      <c r="A82" s="111">
        <v>46</v>
      </c>
      <c r="B82" s="111">
        <v>0.71</v>
      </c>
      <c r="C82" s="111"/>
      <c r="D82" s="111"/>
      <c r="E82" s="111"/>
      <c r="F82" s="111"/>
      <c r="G82" s="111"/>
      <c r="H82" s="211">
        <v>4</v>
      </c>
      <c r="I82" s="111">
        <f t="shared" si="0"/>
        <v>57.34773521845503</v>
      </c>
      <c r="J82" s="111"/>
      <c r="K82" s="111"/>
      <c r="L82" s="111"/>
      <c r="M82" s="111"/>
      <c r="N82" s="111"/>
      <c r="O82" s="111"/>
    </row>
    <row r="83" spans="1:15" ht="12.75">
      <c r="A83" s="111">
        <v>47</v>
      </c>
      <c r="B83" s="111">
        <v>0.72</v>
      </c>
      <c r="C83" s="111"/>
      <c r="D83" s="111"/>
      <c r="E83" s="111"/>
      <c r="F83" s="111"/>
      <c r="G83" s="111"/>
      <c r="H83" s="211">
        <v>4</v>
      </c>
      <c r="I83" s="111">
        <f t="shared" si="0"/>
        <v>57.34773521845503</v>
      </c>
      <c r="J83" s="111"/>
      <c r="K83" s="111"/>
      <c r="L83" s="111"/>
      <c r="M83" s="111"/>
      <c r="N83" s="111"/>
      <c r="O83" s="111"/>
    </row>
    <row r="84" spans="1:15" ht="12.75">
      <c r="A84" s="111">
        <v>48</v>
      </c>
      <c r="B84" s="111">
        <v>0.73</v>
      </c>
      <c r="C84" s="111"/>
      <c r="D84" s="111"/>
      <c r="E84" s="111"/>
      <c r="F84" s="111"/>
      <c r="G84" s="111"/>
      <c r="H84" s="211">
        <v>4</v>
      </c>
      <c r="I84" s="111">
        <f t="shared" si="0"/>
        <v>57.34773521845503</v>
      </c>
      <c r="J84" s="111"/>
      <c r="K84" s="111"/>
      <c r="L84" s="111"/>
      <c r="M84" s="111"/>
      <c r="N84" s="111"/>
      <c r="O84" s="111"/>
    </row>
    <row r="85" spans="1:15" ht="12.75">
      <c r="A85" s="111">
        <v>49</v>
      </c>
      <c r="B85" s="111">
        <v>0.74</v>
      </c>
      <c r="C85" s="111"/>
      <c r="D85" s="111"/>
      <c r="E85" s="111"/>
      <c r="F85" s="111"/>
      <c r="G85" s="111"/>
      <c r="H85" s="211">
        <v>4</v>
      </c>
      <c r="I85" s="111">
        <f t="shared" si="0"/>
        <v>57.34773521845503</v>
      </c>
      <c r="J85" s="111"/>
      <c r="K85" s="111"/>
      <c r="L85" s="111"/>
      <c r="M85" s="111"/>
      <c r="N85" s="111"/>
      <c r="O85" s="111"/>
    </row>
    <row r="86" spans="1:15" ht="12.75">
      <c r="A86" s="111">
        <v>50</v>
      </c>
      <c r="B86" s="111">
        <v>0.75</v>
      </c>
      <c r="C86" s="111"/>
      <c r="D86" s="111"/>
      <c r="E86" s="111"/>
      <c r="F86" s="111"/>
      <c r="G86" s="111"/>
      <c r="H86" s="211">
        <v>4</v>
      </c>
      <c r="I86" s="111">
        <f t="shared" si="0"/>
        <v>57.34773521845503</v>
      </c>
      <c r="J86" s="111"/>
      <c r="K86" s="111"/>
      <c r="L86" s="111"/>
      <c r="M86" s="111"/>
      <c r="N86" s="111"/>
      <c r="O86" s="111"/>
    </row>
    <row r="87" spans="1:15" ht="12.75">
      <c r="A87" s="111">
        <v>51</v>
      </c>
      <c r="B87" s="111">
        <v>0.76</v>
      </c>
      <c r="C87" s="111"/>
      <c r="D87" s="111"/>
      <c r="E87" s="111"/>
      <c r="F87" s="111"/>
      <c r="G87" s="111"/>
      <c r="H87" s="211">
        <v>4</v>
      </c>
      <c r="I87" s="111">
        <f t="shared" si="0"/>
        <v>57.34773521845503</v>
      </c>
      <c r="J87" s="111"/>
      <c r="K87" s="111"/>
      <c r="L87" s="111"/>
      <c r="M87" s="111"/>
      <c r="N87" s="111"/>
      <c r="O87" s="111"/>
    </row>
    <row r="88" spans="1:15" ht="12.75">
      <c r="A88" s="111">
        <v>52</v>
      </c>
      <c r="B88" s="111">
        <v>0.77</v>
      </c>
      <c r="C88" s="111"/>
      <c r="D88" s="111"/>
      <c r="E88" s="111"/>
      <c r="F88" s="111"/>
      <c r="G88" s="111"/>
      <c r="H88" s="211">
        <v>4</v>
      </c>
      <c r="I88" s="111">
        <f t="shared" si="0"/>
        <v>57.34773521845503</v>
      </c>
      <c r="J88" s="111"/>
      <c r="K88" s="111"/>
      <c r="L88" s="111"/>
      <c r="M88" s="111"/>
      <c r="N88" s="111"/>
      <c r="O88" s="111"/>
    </row>
    <row r="89" spans="1:15" ht="12.75">
      <c r="A89" s="111">
        <v>53</v>
      </c>
      <c r="B89" s="111">
        <v>0.78</v>
      </c>
      <c r="C89" s="111"/>
      <c r="D89" s="111"/>
      <c r="E89" s="111"/>
      <c r="F89" s="111"/>
      <c r="G89" s="111"/>
      <c r="H89" s="211">
        <v>4</v>
      </c>
      <c r="I89" s="111">
        <f t="shared" si="0"/>
        <v>57.34773521845503</v>
      </c>
      <c r="J89" s="111"/>
      <c r="K89" s="111"/>
      <c r="L89" s="111"/>
      <c r="M89" s="111"/>
      <c r="N89" s="111"/>
      <c r="O89" s="111"/>
    </row>
    <row r="90" spans="1:15" ht="12.75">
      <c r="A90" s="111">
        <v>54</v>
      </c>
      <c r="B90" s="111">
        <v>0.79</v>
      </c>
      <c r="C90" s="111"/>
      <c r="D90" s="111"/>
      <c r="E90" s="111"/>
      <c r="F90" s="111"/>
      <c r="G90" s="111"/>
      <c r="H90" s="211">
        <v>4</v>
      </c>
      <c r="I90" s="111">
        <f t="shared" si="0"/>
        <v>57.34773521845503</v>
      </c>
      <c r="J90" s="111"/>
      <c r="K90" s="111"/>
      <c r="L90" s="111"/>
      <c r="M90" s="111"/>
      <c r="N90" s="111"/>
      <c r="O90" s="111"/>
    </row>
    <row r="91" spans="1:15" ht="12.75">
      <c r="A91" s="111">
        <v>55</v>
      </c>
      <c r="B91" s="111">
        <v>0.8</v>
      </c>
      <c r="C91" s="111"/>
      <c r="D91" s="111"/>
      <c r="E91" s="111"/>
      <c r="F91" s="111"/>
      <c r="G91" s="111"/>
      <c r="H91" s="211">
        <v>4</v>
      </c>
      <c r="I91" s="111">
        <f t="shared" si="0"/>
        <v>57.34773521845503</v>
      </c>
      <c r="J91" s="111"/>
      <c r="K91" s="111"/>
      <c r="L91" s="111"/>
      <c r="M91" s="111"/>
      <c r="N91" s="111"/>
      <c r="O91" s="111"/>
    </row>
    <row r="92" spans="1:19" ht="12.75">
      <c r="A92" s="111">
        <v>56</v>
      </c>
      <c r="B92" s="111">
        <v>0.81</v>
      </c>
      <c r="C92" s="111"/>
      <c r="D92" s="111"/>
      <c r="E92" s="111"/>
      <c r="F92" s="111"/>
      <c r="G92" s="111"/>
      <c r="H92" s="211">
        <v>3</v>
      </c>
      <c r="I92" s="111">
        <f t="shared" si="0"/>
        <v>43.3384771321253</v>
      </c>
      <c r="J92" s="111"/>
      <c r="K92" s="111"/>
      <c r="L92" s="111"/>
      <c r="M92" s="111"/>
      <c r="N92" s="111"/>
      <c r="O92" s="111"/>
      <c r="S92" s="124"/>
    </row>
    <row r="93" spans="1:19" ht="12.75">
      <c r="A93" s="111">
        <v>57</v>
      </c>
      <c r="B93" s="111">
        <v>0.820000000000001</v>
      </c>
      <c r="C93" s="111"/>
      <c r="D93" s="111"/>
      <c r="E93" s="111"/>
      <c r="F93" s="111"/>
      <c r="G93" s="111"/>
      <c r="H93" s="211">
        <v>3</v>
      </c>
      <c r="I93" s="111">
        <f t="shared" si="0"/>
        <v>43.3384771321253</v>
      </c>
      <c r="J93" s="111"/>
      <c r="K93" s="111"/>
      <c r="L93" s="111"/>
      <c r="M93" s="111"/>
      <c r="N93" s="111"/>
      <c r="O93" s="111"/>
      <c r="S93" s="124"/>
    </row>
    <row r="94" spans="1:19" ht="12.75">
      <c r="A94" s="111">
        <v>58</v>
      </c>
      <c r="B94" s="111">
        <v>0.830000000000001</v>
      </c>
      <c r="C94" s="111"/>
      <c r="D94" s="111"/>
      <c r="E94" s="111"/>
      <c r="F94" s="111"/>
      <c r="G94" s="111"/>
      <c r="H94" s="211">
        <v>3</v>
      </c>
      <c r="I94" s="111">
        <f t="shared" si="0"/>
        <v>43.3384771321253</v>
      </c>
      <c r="J94" s="111"/>
      <c r="K94" s="111"/>
      <c r="L94" s="111"/>
      <c r="M94" s="111"/>
      <c r="N94" s="111"/>
      <c r="O94" s="111"/>
      <c r="S94" s="124"/>
    </row>
    <row r="95" spans="1:19" ht="12.75">
      <c r="A95" s="111">
        <v>59</v>
      </c>
      <c r="B95" s="111">
        <v>0.840000000000001</v>
      </c>
      <c r="C95" s="111"/>
      <c r="D95" s="111"/>
      <c r="E95" s="111"/>
      <c r="F95" s="111"/>
      <c r="G95" s="111"/>
      <c r="H95" s="211">
        <v>3</v>
      </c>
      <c r="I95" s="111">
        <f t="shared" si="0"/>
        <v>43.3384771321253</v>
      </c>
      <c r="J95" s="111"/>
      <c r="K95" s="111"/>
      <c r="L95" s="111"/>
      <c r="M95" s="111"/>
      <c r="N95" s="111"/>
      <c r="O95" s="111"/>
      <c r="S95" s="124"/>
    </row>
    <row r="96" spans="1:19" ht="12.75">
      <c r="A96" s="111">
        <v>60</v>
      </c>
      <c r="B96" s="111">
        <v>0.850000000000001</v>
      </c>
      <c r="C96" s="111"/>
      <c r="D96" s="111"/>
      <c r="E96" s="111"/>
      <c r="F96" s="111"/>
      <c r="G96" s="111"/>
      <c r="H96" s="211">
        <v>3</v>
      </c>
      <c r="I96" s="111">
        <f t="shared" si="0"/>
        <v>43.3384771321253</v>
      </c>
      <c r="J96" s="111"/>
      <c r="K96" s="111"/>
      <c r="L96" s="111"/>
      <c r="M96" s="111"/>
      <c r="N96" s="111"/>
      <c r="O96" s="111"/>
      <c r="S96" s="124"/>
    </row>
    <row r="97" spans="1:19" ht="12.75">
      <c r="A97" s="111">
        <v>61</v>
      </c>
      <c r="B97" s="111">
        <v>0.860000000000001</v>
      </c>
      <c r="C97" s="111"/>
      <c r="D97" s="111"/>
      <c r="E97" s="111"/>
      <c r="F97" s="111"/>
      <c r="G97" s="111"/>
      <c r="H97" s="211">
        <v>3</v>
      </c>
      <c r="I97" s="111">
        <f t="shared" si="0"/>
        <v>43.3384771321253</v>
      </c>
      <c r="J97" s="111"/>
      <c r="K97" s="111"/>
      <c r="L97" s="111"/>
      <c r="M97" s="111"/>
      <c r="N97" s="111"/>
      <c r="O97" s="111"/>
      <c r="S97" s="124"/>
    </row>
    <row r="98" spans="1:15" ht="12.75">
      <c r="A98" s="111">
        <v>62</v>
      </c>
      <c r="B98" s="111">
        <v>0.870000000000001</v>
      </c>
      <c r="C98" s="111"/>
      <c r="D98" s="111"/>
      <c r="E98" s="111"/>
      <c r="F98" s="111"/>
      <c r="G98" s="111"/>
      <c r="H98" s="211">
        <v>3</v>
      </c>
      <c r="I98" s="111">
        <f t="shared" si="0"/>
        <v>43.3384771321253</v>
      </c>
      <c r="J98" s="111"/>
      <c r="K98" s="111"/>
      <c r="L98" s="111"/>
      <c r="M98" s="111"/>
      <c r="N98" s="111"/>
      <c r="O98" s="111"/>
    </row>
    <row r="99" spans="1:15" ht="13.5" thickBot="1">
      <c r="A99" s="120">
        <v>63</v>
      </c>
      <c r="B99" s="120">
        <v>0.880000000000001</v>
      </c>
      <c r="C99" s="120"/>
      <c r="D99" s="120"/>
      <c r="E99" s="120"/>
      <c r="F99" s="120"/>
      <c r="G99" s="120"/>
      <c r="H99" s="211">
        <f>IF($B$26="y",$C$26,(MAX(0,IF($B$23="y",(LOOKUP(MAX((G99-$C$23*$D$23),0)+$L$37/2,$L$36:$L$43,$K$36:$K$43)),(LOOKUP(G99+$L$37/2,$L$36:$L$43,$K$36:$K$43))))))</f>
        <v>0</v>
      </c>
      <c r="I99" s="120">
        <f t="shared" si="0"/>
        <v>0</v>
      </c>
      <c r="J99" s="111"/>
      <c r="K99" s="111"/>
      <c r="L99" s="111"/>
      <c r="M99" s="111"/>
      <c r="N99" s="111"/>
      <c r="O99" s="111"/>
    </row>
    <row r="100" spans="8:9" ht="12.75">
      <c r="H100" s="88"/>
      <c r="I100" s="88"/>
    </row>
    <row r="101" spans="8:9" ht="12.75">
      <c r="H101" s="88"/>
      <c r="I101" s="88"/>
    </row>
    <row r="102" spans="1:9" ht="12.75">
      <c r="A102" s="121" t="s">
        <v>43</v>
      </c>
      <c r="B102" s="121"/>
      <c r="C102" s="121"/>
      <c r="H102" s="88"/>
      <c r="I102" s="88"/>
    </row>
    <row r="103" spans="1:9" ht="12.75">
      <c r="A103" s="122" t="s">
        <v>33</v>
      </c>
      <c r="B103" s="122" t="s">
        <v>45</v>
      </c>
      <c r="C103" s="122" t="s">
        <v>44</v>
      </c>
      <c r="D103" s="123" t="s">
        <v>46</v>
      </c>
      <c r="H103" s="88"/>
      <c r="I103" s="88"/>
    </row>
    <row r="104" spans="1:9" ht="12.75">
      <c r="A104" s="121">
        <v>1</v>
      </c>
      <c r="B104" s="31">
        <v>0.5656</v>
      </c>
      <c r="C104" s="31" t="s">
        <v>12</v>
      </c>
      <c r="D104" s="88">
        <v>2</v>
      </c>
      <c r="H104" s="88"/>
      <c r="I104" s="88"/>
    </row>
    <row r="105" spans="1:9" ht="12.75">
      <c r="A105" s="121">
        <v>2</v>
      </c>
      <c r="B105" s="31">
        <v>0.701</v>
      </c>
      <c r="C105" s="31" t="s">
        <v>51</v>
      </c>
      <c r="H105" s="88"/>
      <c r="I105" s="88"/>
    </row>
    <row r="106" spans="8:9" ht="12.75">
      <c r="H106" s="88"/>
      <c r="I106" s="88"/>
    </row>
    <row r="107" spans="8:9" ht="12.75">
      <c r="H107" s="88"/>
      <c r="I107" s="88"/>
    </row>
    <row r="108" spans="8:9" ht="12.75">
      <c r="H108" s="88"/>
      <c r="I108" s="88"/>
    </row>
    <row r="109" spans="8:9" ht="12.75">
      <c r="H109" s="88"/>
      <c r="I109" s="88"/>
    </row>
    <row r="110" spans="8:9" ht="12.75">
      <c r="H110" s="88"/>
      <c r="I110" s="88"/>
    </row>
    <row r="111" spans="8:9" ht="12.75">
      <c r="H111" s="88"/>
      <c r="I111" s="88"/>
    </row>
    <row r="112" spans="8:9" ht="12.75">
      <c r="H112" s="88"/>
      <c r="I112" s="88"/>
    </row>
    <row r="113" spans="8:9" ht="12.75">
      <c r="H113" s="88"/>
      <c r="I113" s="88"/>
    </row>
    <row r="114" spans="8:9" ht="12.75">
      <c r="H114" s="88"/>
      <c r="I114" s="88"/>
    </row>
    <row r="115" spans="8:9" ht="12.75">
      <c r="H115" s="88"/>
      <c r="I115" s="88"/>
    </row>
    <row r="116" spans="8:9" ht="12.75">
      <c r="H116" s="88"/>
      <c r="I116" s="88"/>
    </row>
    <row r="117" spans="8:9" ht="12.75">
      <c r="H117" s="88"/>
      <c r="I117" s="88"/>
    </row>
    <row r="118" spans="8:9" ht="12.75">
      <c r="H118" s="88"/>
      <c r="I118" s="88"/>
    </row>
    <row r="119" spans="8:9" ht="12.75">
      <c r="H119" s="88"/>
      <c r="I119" s="88"/>
    </row>
    <row r="120" spans="8:9" ht="12.75">
      <c r="H120" s="88"/>
      <c r="I120" s="88"/>
    </row>
    <row r="121" spans="8:9" ht="12.75">
      <c r="H121" s="88"/>
      <c r="I121" s="88"/>
    </row>
    <row r="122" spans="8:9" ht="12.75">
      <c r="H122" s="88"/>
      <c r="I122" s="88"/>
    </row>
    <row r="123" spans="8:9" ht="12.75">
      <c r="H123" s="88"/>
      <c r="I123" s="88"/>
    </row>
    <row r="124" spans="8:9" ht="12.75">
      <c r="H124" s="88"/>
      <c r="I124" s="88"/>
    </row>
    <row r="125" spans="8:9" ht="12.75">
      <c r="H125" s="88"/>
      <c r="I125" s="88"/>
    </row>
    <row r="126" spans="8:9" ht="12.75">
      <c r="H126" s="88"/>
      <c r="I126" s="88"/>
    </row>
    <row r="127" spans="8:9" ht="12.75">
      <c r="H127" s="88"/>
      <c r="I127" s="88"/>
    </row>
    <row r="128" spans="8:9" ht="12.75">
      <c r="H128" s="88"/>
      <c r="I128" s="88"/>
    </row>
    <row r="129" spans="8:9" ht="12.75">
      <c r="H129" s="88"/>
      <c r="I129" s="88"/>
    </row>
    <row r="130" spans="8:9" ht="12.75">
      <c r="H130" s="88"/>
      <c r="I130" s="88"/>
    </row>
    <row r="131" spans="8:9" ht="12.75">
      <c r="H131" s="88"/>
      <c r="I131" s="88"/>
    </row>
    <row r="132" spans="8:9" ht="12.75">
      <c r="H132" s="88"/>
      <c r="I132" s="88"/>
    </row>
    <row r="133" spans="8:9" ht="12.75">
      <c r="H133" s="88"/>
      <c r="I133" s="88"/>
    </row>
    <row r="134" spans="8:9" ht="12.75">
      <c r="H134" s="88"/>
      <c r="I134" s="88"/>
    </row>
    <row r="135" spans="8:9" ht="12.75">
      <c r="H135" s="88"/>
      <c r="I135" s="88"/>
    </row>
    <row r="136" spans="8:9" ht="12.75">
      <c r="H136" s="88"/>
      <c r="I136" s="88"/>
    </row>
    <row r="137" spans="8:9" ht="12.75">
      <c r="H137" s="88"/>
      <c r="I137" s="88"/>
    </row>
    <row r="138" spans="8:9" ht="12.75">
      <c r="H138" s="88"/>
      <c r="I138" s="88"/>
    </row>
    <row r="139" spans="8:9" ht="12.75">
      <c r="H139" s="88"/>
      <c r="I139" s="88"/>
    </row>
    <row r="140" spans="8:9" ht="12.75">
      <c r="H140" s="88"/>
      <c r="I140" s="88"/>
    </row>
    <row r="141" spans="8:9" ht="12.75">
      <c r="H141" s="88"/>
      <c r="I141" s="88"/>
    </row>
    <row r="142" spans="8:9" ht="12.75">
      <c r="H142" s="88"/>
      <c r="I142" s="88"/>
    </row>
    <row r="143" spans="8:9" ht="12.75">
      <c r="H143" s="88"/>
      <c r="I143" s="88"/>
    </row>
    <row r="144" spans="8:9" ht="12.75">
      <c r="H144" s="88"/>
      <c r="I144" s="88"/>
    </row>
    <row r="145" spans="8:9" ht="12.75">
      <c r="H145" s="88"/>
      <c r="I145" s="88"/>
    </row>
    <row r="146" spans="8:9" ht="12.75">
      <c r="H146" s="88"/>
      <c r="I146" s="88"/>
    </row>
    <row r="147" spans="8:9" ht="12.75">
      <c r="H147" s="88"/>
      <c r="I147" s="88"/>
    </row>
    <row r="148" spans="8:9" ht="12.75">
      <c r="H148" s="88"/>
      <c r="I148" s="88"/>
    </row>
    <row r="149" spans="8:9" ht="12.75">
      <c r="H149" s="88"/>
      <c r="I149" s="88"/>
    </row>
    <row r="150" spans="8:9" ht="12.75">
      <c r="H150" s="88"/>
      <c r="I150" s="88"/>
    </row>
    <row r="151" spans="8:9" ht="12.75">
      <c r="H151" s="88"/>
      <c r="I151" s="88"/>
    </row>
    <row r="152" spans="8:9" ht="12.75">
      <c r="H152" s="88"/>
      <c r="I152" s="88"/>
    </row>
    <row r="153" spans="8:9" ht="12.75">
      <c r="H153" s="88"/>
      <c r="I153" s="88"/>
    </row>
    <row r="154" spans="8:9" ht="12.75">
      <c r="H154" s="88"/>
      <c r="I154" s="88"/>
    </row>
    <row r="155" spans="8:9" ht="12.75">
      <c r="H155" s="88"/>
      <c r="I155" s="88"/>
    </row>
    <row r="156" spans="8:9" ht="12.75">
      <c r="H156" s="88"/>
      <c r="I156" s="88"/>
    </row>
    <row r="157" spans="8:9" ht="12.75">
      <c r="H157" s="88"/>
      <c r="I157" s="88"/>
    </row>
    <row r="158" spans="8:9" ht="12.75">
      <c r="H158" s="88"/>
      <c r="I158" s="88"/>
    </row>
    <row r="159" spans="8:9" ht="12.75">
      <c r="H159" s="88"/>
      <c r="I159" s="88"/>
    </row>
    <row r="160" spans="8:9" ht="12.75">
      <c r="H160" s="88"/>
      <c r="I160" s="88"/>
    </row>
    <row r="161" spans="8:9" ht="12.75">
      <c r="H161" s="88"/>
      <c r="I161" s="88"/>
    </row>
    <row r="162" spans="8:9" ht="12.75">
      <c r="H162" s="88"/>
      <c r="I162" s="88"/>
    </row>
    <row r="163" spans="8:9" ht="12.75">
      <c r="H163" s="88"/>
      <c r="I163" s="88"/>
    </row>
    <row r="164" spans="8:9" ht="12.75">
      <c r="H164" s="88"/>
      <c r="I164" s="88"/>
    </row>
    <row r="165" spans="8:9" ht="12.75">
      <c r="H165" s="88"/>
      <c r="I165" s="88"/>
    </row>
    <row r="166" spans="8:9" ht="12.75">
      <c r="H166" s="88"/>
      <c r="I166" s="88"/>
    </row>
    <row r="167" spans="8:9" ht="12.75">
      <c r="H167" s="88"/>
      <c r="I167" s="88"/>
    </row>
    <row r="168" spans="8:9" ht="12.75">
      <c r="H168" s="88"/>
      <c r="I168" s="88"/>
    </row>
    <row r="169" spans="8:9" ht="12.75">
      <c r="H169" s="88"/>
      <c r="I169" s="88"/>
    </row>
    <row r="170" spans="8:9" ht="12.75">
      <c r="H170" s="88"/>
      <c r="I170" s="88"/>
    </row>
    <row r="171" spans="8:9" ht="12.75">
      <c r="H171" s="88"/>
      <c r="I171" s="88"/>
    </row>
    <row r="172" spans="8:9" ht="12.75">
      <c r="H172" s="88"/>
      <c r="I172" s="88"/>
    </row>
    <row r="173" spans="8:9" ht="12.75">
      <c r="H173" s="88"/>
      <c r="I173" s="88"/>
    </row>
    <row r="174" spans="8:9" ht="12.75">
      <c r="H174" s="88"/>
      <c r="I174" s="88"/>
    </row>
    <row r="175" spans="8:9" ht="12.75">
      <c r="H175" s="88"/>
      <c r="I175" s="88"/>
    </row>
    <row r="176" spans="8:9" ht="12.75">
      <c r="H176" s="88"/>
      <c r="I176" s="88"/>
    </row>
    <row r="177" spans="8:9" ht="12.75">
      <c r="H177" s="88"/>
      <c r="I177" s="88"/>
    </row>
    <row r="178" spans="8:9" ht="12.75">
      <c r="H178" s="88"/>
      <c r="I178" s="88"/>
    </row>
    <row r="179" spans="8:9" ht="12.75">
      <c r="H179" s="88"/>
      <c r="I179" s="88"/>
    </row>
    <row r="180" spans="8:9" ht="12.75">
      <c r="H180" s="88"/>
      <c r="I180" s="88"/>
    </row>
    <row r="181" spans="8:9" ht="12.75">
      <c r="H181" s="88"/>
      <c r="I181" s="88"/>
    </row>
    <row r="182" spans="8:9" ht="12.75">
      <c r="H182" s="88"/>
      <c r="I182" s="88"/>
    </row>
    <row r="183" spans="8:9" ht="12.75">
      <c r="H183" s="88"/>
      <c r="I183" s="88"/>
    </row>
    <row r="184" spans="8:9" ht="12.75">
      <c r="H184" s="88"/>
      <c r="I184" s="88"/>
    </row>
    <row r="185" spans="8:9" ht="12.75">
      <c r="H185" s="88"/>
      <c r="I185" s="88"/>
    </row>
    <row r="186" spans="8:9" ht="12.75">
      <c r="H186" s="88"/>
      <c r="I186" s="88"/>
    </row>
    <row r="187" spans="8:9" ht="12.75">
      <c r="H187" s="88"/>
      <c r="I187" s="88"/>
    </row>
    <row r="188" spans="8:9" ht="12.75">
      <c r="H188" s="88"/>
      <c r="I188" s="88"/>
    </row>
    <row r="189" spans="8:9" ht="12.75">
      <c r="H189" s="88"/>
      <c r="I189" s="88"/>
    </row>
    <row r="190" spans="8:9" ht="12.75">
      <c r="H190" s="88"/>
      <c r="I190" s="88"/>
    </row>
    <row r="191" spans="8:9" ht="12.75">
      <c r="H191" s="88"/>
      <c r="I191" s="88"/>
    </row>
    <row r="192" spans="8:9" ht="12.75">
      <c r="H192" s="88"/>
      <c r="I192" s="88"/>
    </row>
    <row r="193" spans="8:9" ht="12.75">
      <c r="H193" s="88"/>
      <c r="I193" s="88"/>
    </row>
    <row r="194" spans="8:9" ht="12.75">
      <c r="H194" s="88"/>
      <c r="I194" s="88"/>
    </row>
    <row r="195" spans="8:9" ht="12.75">
      <c r="H195" s="88"/>
      <c r="I195" s="88"/>
    </row>
    <row r="196" spans="8:9" ht="12.75">
      <c r="H196" s="88"/>
      <c r="I196" s="88"/>
    </row>
    <row r="197" spans="8:9" ht="12.75">
      <c r="H197" s="88"/>
      <c r="I197" s="88"/>
    </row>
    <row r="198" spans="8:9" ht="12.75">
      <c r="H198" s="88"/>
      <c r="I198" s="88"/>
    </row>
    <row r="199" spans="8:9" ht="12.75">
      <c r="H199" s="88"/>
      <c r="I199" s="88"/>
    </row>
    <row r="200" spans="8:9" ht="12.75">
      <c r="H200" s="88"/>
      <c r="I200" s="88"/>
    </row>
    <row r="201" spans="8:9" ht="12.75">
      <c r="H201" s="88"/>
      <c r="I201" s="88"/>
    </row>
    <row r="202" spans="8:9" ht="12.75">
      <c r="H202" s="88"/>
      <c r="I202" s="88"/>
    </row>
    <row r="203" spans="8:9" ht="12.75">
      <c r="H203" s="88"/>
      <c r="I203" s="88"/>
    </row>
    <row r="204" spans="8:9" ht="12.75">
      <c r="H204" s="88"/>
      <c r="I204" s="88"/>
    </row>
    <row r="205" spans="8:9" ht="12.75">
      <c r="H205" s="88"/>
      <c r="I205" s="88"/>
    </row>
    <row r="206" spans="8:9" ht="12.75">
      <c r="H206" s="88"/>
      <c r="I206" s="88"/>
    </row>
    <row r="207" spans="8:9" ht="12.75">
      <c r="H207" s="88"/>
      <c r="I207" s="88"/>
    </row>
    <row r="208" spans="8:9" ht="12.75">
      <c r="H208" s="88"/>
      <c r="I208" s="88"/>
    </row>
    <row r="209" spans="8:9" ht="12.75">
      <c r="H209" s="88"/>
      <c r="I209" s="88"/>
    </row>
    <row r="210" spans="8:9" ht="12.75">
      <c r="H210" s="88"/>
      <c r="I210" s="88"/>
    </row>
    <row r="211" spans="8:9" ht="12.75">
      <c r="H211" s="88"/>
      <c r="I211" s="88"/>
    </row>
    <row r="212" spans="8:9" ht="12.75">
      <c r="H212" s="88"/>
      <c r="I212" s="88"/>
    </row>
    <row r="213" spans="8:9" ht="12.75">
      <c r="H213" s="88"/>
      <c r="I213" s="88"/>
    </row>
    <row r="214" spans="8:9" ht="12.75">
      <c r="H214" s="88"/>
      <c r="I214" s="88"/>
    </row>
    <row r="215" spans="8:9" ht="12.75">
      <c r="H215" s="88"/>
      <c r="I215" s="88"/>
    </row>
    <row r="216" spans="8:9" ht="12.75">
      <c r="H216" s="88"/>
      <c r="I216" s="88"/>
    </row>
    <row r="217" spans="8:9" ht="12.75">
      <c r="H217" s="88"/>
      <c r="I217" s="88"/>
    </row>
    <row r="218" spans="8:9" ht="12.75">
      <c r="H218" s="88"/>
      <c r="I218" s="88"/>
    </row>
    <row r="219" spans="8:9" ht="12.75">
      <c r="H219" s="88"/>
      <c r="I219" s="88"/>
    </row>
    <row r="220" spans="8:9" ht="12.75">
      <c r="H220" s="88"/>
      <c r="I220" s="88"/>
    </row>
    <row r="221" spans="8:9" ht="12.75">
      <c r="H221" s="88"/>
      <c r="I221" s="88"/>
    </row>
    <row r="222" spans="8:9" ht="12.75">
      <c r="H222" s="88"/>
      <c r="I222" s="88"/>
    </row>
    <row r="223" spans="8:9" ht="12.75">
      <c r="H223" s="88"/>
      <c r="I223" s="88"/>
    </row>
    <row r="224" spans="8:9" ht="12.75">
      <c r="H224" s="88"/>
      <c r="I224" s="88"/>
    </row>
    <row r="225" spans="8:9" ht="12.75">
      <c r="H225" s="88"/>
      <c r="I225" s="88"/>
    </row>
    <row r="226" spans="8:9" ht="12.75">
      <c r="H226" s="88"/>
      <c r="I226" s="88"/>
    </row>
    <row r="227" spans="8:9" ht="12.75">
      <c r="H227" s="88"/>
      <c r="I227" s="88"/>
    </row>
    <row r="228" spans="8:9" ht="12.75">
      <c r="H228" s="88"/>
      <c r="I228" s="88"/>
    </row>
    <row r="229" spans="8:9" ht="12.75">
      <c r="H229" s="88"/>
      <c r="I229" s="88"/>
    </row>
    <row r="230" spans="8:9" ht="12.75">
      <c r="H230" s="88"/>
      <c r="I230" s="88"/>
    </row>
    <row r="231" spans="8:9" ht="12.75">
      <c r="H231" s="88"/>
      <c r="I231" s="88"/>
    </row>
    <row r="232" spans="8:9" ht="12.75">
      <c r="H232" s="88"/>
      <c r="I232" s="88"/>
    </row>
    <row r="233" spans="8:9" ht="12.75">
      <c r="H233" s="88"/>
      <c r="I233" s="88"/>
    </row>
    <row r="234" spans="8:9" ht="12.75">
      <c r="H234" s="88"/>
      <c r="I234" s="88"/>
    </row>
    <row r="235" spans="8:9" ht="12.75">
      <c r="H235" s="88"/>
      <c r="I235" s="88"/>
    </row>
    <row r="236" spans="8:9" ht="12.75">
      <c r="H236" s="88"/>
      <c r="I236" s="88"/>
    </row>
    <row r="237" spans="8:9" ht="12.75">
      <c r="H237" s="88"/>
      <c r="I237" s="88"/>
    </row>
    <row r="238" spans="8:9" ht="12.75">
      <c r="H238" s="88"/>
      <c r="I238" s="88"/>
    </row>
    <row r="239" spans="8:9" ht="12.75">
      <c r="H239" s="88"/>
      <c r="I239" s="88"/>
    </row>
    <row r="240" spans="8:9" ht="12.75">
      <c r="H240" s="88"/>
      <c r="I240" s="88"/>
    </row>
    <row r="241" spans="8:9" ht="12.75">
      <c r="H241" s="88"/>
      <c r="I241" s="88"/>
    </row>
    <row r="242" spans="8:9" ht="12.75">
      <c r="H242" s="88"/>
      <c r="I242" s="88"/>
    </row>
    <row r="243" spans="8:9" ht="12.75">
      <c r="H243" s="88"/>
      <c r="I243" s="88"/>
    </row>
    <row r="244" spans="8:9" ht="12.75">
      <c r="H244" s="88"/>
      <c r="I244" s="88"/>
    </row>
    <row r="245" spans="8:9" ht="12.75">
      <c r="H245" s="88"/>
      <c r="I245" s="88"/>
    </row>
    <row r="246" spans="8:9" ht="12.75">
      <c r="H246" s="88"/>
      <c r="I246" s="88"/>
    </row>
    <row r="247" spans="8:9" ht="12.75">
      <c r="H247" s="88"/>
      <c r="I247" s="88"/>
    </row>
    <row r="248" spans="8:9" ht="12.75">
      <c r="H248" s="88"/>
      <c r="I248" s="88"/>
    </row>
    <row r="249" spans="8:9" ht="12.75">
      <c r="H249" s="88"/>
      <c r="I249" s="88"/>
    </row>
    <row r="250" spans="8:9" ht="12.75">
      <c r="H250" s="88"/>
      <c r="I250" s="88"/>
    </row>
    <row r="251" spans="8:9" ht="12.75">
      <c r="H251" s="88"/>
      <c r="I251" s="88"/>
    </row>
    <row r="252" spans="8:9" ht="12.75">
      <c r="H252" s="88"/>
      <c r="I252" s="88"/>
    </row>
    <row r="253" spans="8:9" ht="12.75">
      <c r="H253" s="88"/>
      <c r="I253" s="88"/>
    </row>
    <row r="254" spans="8:9" ht="12.75">
      <c r="H254" s="88"/>
      <c r="I254" s="88"/>
    </row>
    <row r="255" spans="8:9" ht="12.75">
      <c r="H255" s="88"/>
      <c r="I255" s="88"/>
    </row>
    <row r="256" spans="8:9" ht="12.75">
      <c r="H256" s="88"/>
      <c r="I256" s="88"/>
    </row>
    <row r="257" spans="8:9" ht="12.75">
      <c r="H257" s="88"/>
      <c r="I257" s="88"/>
    </row>
    <row r="258" spans="8:9" ht="12.75">
      <c r="H258" s="88"/>
      <c r="I258" s="88"/>
    </row>
    <row r="259" spans="8:9" ht="12.75">
      <c r="H259" s="88"/>
      <c r="I259" s="88"/>
    </row>
    <row r="260" spans="8:9" ht="12.75">
      <c r="H260" s="88"/>
      <c r="I260" s="88"/>
    </row>
    <row r="261" spans="8:9" ht="12.75">
      <c r="H261" s="88"/>
      <c r="I261" s="88"/>
    </row>
    <row r="262" spans="8:9" ht="12.75">
      <c r="H262" s="88"/>
      <c r="I262" s="88"/>
    </row>
    <row r="263" spans="8:9" ht="12.75">
      <c r="H263" s="88"/>
      <c r="I263" s="88"/>
    </row>
    <row r="264" spans="8:9" ht="12.75">
      <c r="H264" s="88"/>
      <c r="I264" s="88"/>
    </row>
    <row r="265" spans="8:9" ht="12.75">
      <c r="H265" s="88"/>
      <c r="I265" s="88"/>
    </row>
    <row r="266" spans="8:9" ht="12.75">
      <c r="H266" s="88"/>
      <c r="I266" s="88"/>
    </row>
    <row r="267" spans="8:9" ht="12.75">
      <c r="H267" s="88"/>
      <c r="I267" s="88"/>
    </row>
    <row r="268" spans="8:9" ht="12.75">
      <c r="H268" s="88"/>
      <c r="I268" s="88"/>
    </row>
    <row r="269" spans="8:9" ht="12.75">
      <c r="H269" s="88"/>
      <c r="I269" s="88"/>
    </row>
    <row r="270" spans="8:9" ht="12.75">
      <c r="H270" s="88"/>
      <c r="I270" s="88"/>
    </row>
    <row r="271" spans="8:9" ht="12.75">
      <c r="H271" s="88"/>
      <c r="I271" s="88"/>
    </row>
    <row r="272" spans="8:9" ht="12.75">
      <c r="H272" s="88"/>
      <c r="I272" s="88"/>
    </row>
    <row r="273" spans="8:9" ht="12.75">
      <c r="H273" s="88"/>
      <c r="I273" s="88"/>
    </row>
    <row r="274" spans="8:9" ht="12.75">
      <c r="H274" s="88"/>
      <c r="I274" s="88"/>
    </row>
    <row r="275" spans="8:9" ht="12.75">
      <c r="H275" s="88"/>
      <c r="I275" s="88"/>
    </row>
    <row r="276" spans="8:9" ht="12.75">
      <c r="H276" s="88"/>
      <c r="I276" s="88"/>
    </row>
    <row r="277" spans="8:9" ht="12.75">
      <c r="H277" s="88"/>
      <c r="I277" s="88"/>
    </row>
    <row r="278" spans="8:9" ht="12.75">
      <c r="H278" s="88"/>
      <c r="I278" s="88"/>
    </row>
    <row r="279" spans="8:9" ht="12.75">
      <c r="H279" s="88"/>
      <c r="I279" s="88"/>
    </row>
    <row r="280" spans="8:9" ht="12.75">
      <c r="H280" s="88"/>
      <c r="I280" s="88"/>
    </row>
    <row r="281" spans="8:9" ht="12.75">
      <c r="H281" s="88"/>
      <c r="I281" s="88"/>
    </row>
    <row r="282" spans="8:9" ht="12.75">
      <c r="H282" s="88"/>
      <c r="I282" s="88"/>
    </row>
    <row r="283" spans="8:9" ht="12.75">
      <c r="H283" s="88"/>
      <c r="I283" s="88"/>
    </row>
    <row r="284" spans="8:9" ht="12.75">
      <c r="H284" s="88"/>
      <c r="I284" s="88"/>
    </row>
    <row r="285" spans="8:9" ht="12.75">
      <c r="H285" s="88"/>
      <c r="I285" s="88"/>
    </row>
    <row r="286" spans="8:9" ht="12.75">
      <c r="H286" s="88"/>
      <c r="I286" s="88"/>
    </row>
    <row r="287" spans="8:9" ht="12.75">
      <c r="H287" s="88"/>
      <c r="I287" s="88"/>
    </row>
    <row r="288" spans="8:9" ht="12.75">
      <c r="H288" s="88"/>
      <c r="I288" s="88"/>
    </row>
    <row r="289" spans="8:9" ht="12.75">
      <c r="H289" s="88"/>
      <c r="I289" s="88"/>
    </row>
    <row r="290" spans="8:9" ht="12.75">
      <c r="H290" s="88"/>
      <c r="I290" s="88"/>
    </row>
    <row r="291" spans="8:9" ht="12.75">
      <c r="H291" s="88"/>
      <c r="I291" s="88"/>
    </row>
    <row r="292" spans="8:9" ht="12.75">
      <c r="H292" s="88"/>
      <c r="I292" s="88"/>
    </row>
    <row r="293" spans="8:9" ht="12.75">
      <c r="H293" s="88"/>
      <c r="I293" s="88"/>
    </row>
    <row r="294" spans="8:9" ht="12.75">
      <c r="H294" s="88"/>
      <c r="I294" s="88"/>
    </row>
    <row r="295" spans="8:9" ht="12.75">
      <c r="H295" s="88"/>
      <c r="I295" s="88"/>
    </row>
    <row r="296" spans="8:9" ht="12.75">
      <c r="H296" s="88"/>
      <c r="I296" s="88"/>
    </row>
    <row r="297" spans="8:9" ht="12.75">
      <c r="H297" s="88"/>
      <c r="I297" s="88"/>
    </row>
    <row r="298" spans="8:9" ht="12.75">
      <c r="H298" s="88"/>
      <c r="I298" s="88"/>
    </row>
    <row r="299" spans="8:9" ht="12.75">
      <c r="H299" s="88"/>
      <c r="I299" s="88"/>
    </row>
    <row r="300" spans="8:9" ht="12.75">
      <c r="H300" s="88"/>
      <c r="I300" s="88"/>
    </row>
    <row r="301" spans="8:9" ht="12.75">
      <c r="H301" s="88"/>
      <c r="I301" s="88"/>
    </row>
    <row r="302" spans="8:9" ht="12.75">
      <c r="H302" s="88"/>
      <c r="I302" s="88"/>
    </row>
    <row r="303" spans="8:9" ht="12.75">
      <c r="H303" s="88"/>
      <c r="I303" s="88"/>
    </row>
    <row r="304" spans="8:9" ht="12.75">
      <c r="H304" s="88"/>
      <c r="I304" s="88"/>
    </row>
    <row r="305" spans="8:9" ht="12.75">
      <c r="H305" s="88"/>
      <c r="I305" s="88"/>
    </row>
    <row r="306" spans="8:9" ht="12.75">
      <c r="H306" s="88"/>
      <c r="I306" s="88"/>
    </row>
    <row r="307" spans="8:9" ht="12.75">
      <c r="H307" s="88"/>
      <c r="I307" s="88"/>
    </row>
    <row r="308" spans="8:9" ht="12.75">
      <c r="H308" s="88"/>
      <c r="I308" s="88"/>
    </row>
    <row r="309" spans="8:9" ht="12.75">
      <c r="H309" s="88"/>
      <c r="I309" s="88"/>
    </row>
    <row r="310" spans="8:9" ht="12.75">
      <c r="H310" s="88"/>
      <c r="I310" s="88"/>
    </row>
    <row r="311" spans="8:9" ht="12.75">
      <c r="H311" s="88"/>
      <c r="I311" s="88"/>
    </row>
    <row r="312" spans="8:9" ht="12.75">
      <c r="H312" s="88"/>
      <c r="I312" s="88"/>
    </row>
    <row r="313" spans="8:9" ht="12.75">
      <c r="H313" s="88"/>
      <c r="I313" s="88"/>
    </row>
    <row r="314" spans="8:9" ht="12.75">
      <c r="H314" s="88"/>
      <c r="I314" s="88"/>
    </row>
    <row r="315" spans="8:9" ht="12.75">
      <c r="H315" s="88"/>
      <c r="I315" s="88"/>
    </row>
    <row r="316" spans="8:9" ht="12.75">
      <c r="H316" s="88"/>
      <c r="I316" s="88"/>
    </row>
    <row r="317" spans="8:9" ht="12.75">
      <c r="H317" s="88"/>
      <c r="I317" s="88"/>
    </row>
    <row r="318" spans="8:9" ht="12.75">
      <c r="H318" s="88"/>
      <c r="I318" s="88"/>
    </row>
    <row r="319" spans="8:9" ht="12.75">
      <c r="H319" s="88"/>
      <c r="I319" s="88"/>
    </row>
    <row r="320" spans="8:9" ht="12.75">
      <c r="H320" s="88"/>
      <c r="I320" s="88"/>
    </row>
    <row r="321" spans="8:9" ht="12.75">
      <c r="H321" s="88"/>
      <c r="I321" s="88"/>
    </row>
    <row r="322" spans="8:9" ht="12.75">
      <c r="H322" s="88"/>
      <c r="I322" s="88"/>
    </row>
    <row r="323" spans="8:9" ht="12.75">
      <c r="H323" s="88"/>
      <c r="I323" s="88"/>
    </row>
    <row r="324" spans="8:9" ht="12.75">
      <c r="H324" s="88"/>
      <c r="I324" s="88"/>
    </row>
    <row r="325" spans="8:9" ht="12.75">
      <c r="H325" s="88"/>
      <c r="I325" s="88"/>
    </row>
    <row r="326" spans="8:9" ht="12.75">
      <c r="H326" s="88"/>
      <c r="I326" s="88"/>
    </row>
    <row r="327" spans="8:9" ht="12.75">
      <c r="H327" s="88"/>
      <c r="I327" s="88"/>
    </row>
    <row r="328" spans="8:9" ht="12.75">
      <c r="H328" s="88"/>
      <c r="I328" s="88"/>
    </row>
    <row r="329" spans="8:9" ht="12.75">
      <c r="H329" s="88"/>
      <c r="I329" s="88"/>
    </row>
    <row r="330" spans="8:9" ht="12.75">
      <c r="H330" s="88"/>
      <c r="I330" s="88"/>
    </row>
    <row r="331" spans="8:9" ht="12.75">
      <c r="H331" s="88"/>
      <c r="I331" s="88"/>
    </row>
    <row r="332" spans="8:9" ht="12.75">
      <c r="H332" s="88"/>
      <c r="I332" s="88"/>
    </row>
    <row r="333" spans="8:9" ht="12.75">
      <c r="H333" s="88"/>
      <c r="I333" s="88"/>
    </row>
    <row r="334" spans="8:9" ht="12.75">
      <c r="H334" s="88"/>
      <c r="I334" s="88"/>
    </row>
    <row r="335" spans="8:9" ht="12.75">
      <c r="H335" s="88"/>
      <c r="I335" s="88"/>
    </row>
    <row r="336" spans="8:9" ht="12.75">
      <c r="H336" s="88"/>
      <c r="I336" s="88"/>
    </row>
    <row r="337" spans="8:9" ht="12.75">
      <c r="H337" s="88"/>
      <c r="I337" s="88"/>
    </row>
    <row r="338" spans="8:9" ht="12.75">
      <c r="H338" s="88"/>
      <c r="I338" s="88"/>
    </row>
    <row r="339" spans="8:9" ht="12.75">
      <c r="H339" s="88"/>
      <c r="I339" s="88"/>
    </row>
    <row r="340" spans="8:9" ht="12.75">
      <c r="H340" s="88"/>
      <c r="I340" s="88"/>
    </row>
    <row r="341" spans="8:9" ht="12.75">
      <c r="H341" s="88"/>
      <c r="I341" s="88"/>
    </row>
    <row r="342" spans="8:9" ht="12.75">
      <c r="H342" s="88"/>
      <c r="I342" s="88"/>
    </row>
    <row r="343" spans="8:9" ht="12.75">
      <c r="H343" s="88"/>
      <c r="I343" s="88"/>
    </row>
    <row r="344" spans="8:9" ht="12.75">
      <c r="H344" s="88"/>
      <c r="I344" s="88"/>
    </row>
    <row r="345" spans="8:9" ht="12.75">
      <c r="H345" s="88"/>
      <c r="I345" s="88"/>
    </row>
    <row r="346" spans="8:9" ht="12.75">
      <c r="H346" s="88"/>
      <c r="I346" s="88"/>
    </row>
    <row r="347" spans="8:9" ht="12.75">
      <c r="H347" s="88"/>
      <c r="I347" s="88"/>
    </row>
    <row r="348" spans="8:9" ht="12.75">
      <c r="H348" s="88"/>
      <c r="I348" s="88"/>
    </row>
    <row r="349" spans="8:9" ht="12.75">
      <c r="H349" s="88"/>
      <c r="I349" s="88"/>
    </row>
    <row r="350" spans="8:9" ht="12.75">
      <c r="H350" s="88"/>
      <c r="I350" s="88"/>
    </row>
    <row r="351" spans="8:9" ht="12.75">
      <c r="H351" s="88"/>
      <c r="I351" s="88"/>
    </row>
    <row r="352" spans="8:9" ht="12.75">
      <c r="H352" s="88"/>
      <c r="I352" s="88"/>
    </row>
    <row r="353" spans="8:9" ht="12.75">
      <c r="H353" s="88"/>
      <c r="I353" s="88"/>
    </row>
    <row r="354" spans="8:9" ht="12.75">
      <c r="H354" s="88"/>
      <c r="I354" s="88"/>
    </row>
    <row r="355" spans="8:9" ht="12.75">
      <c r="H355" s="88"/>
      <c r="I355" s="88"/>
    </row>
    <row r="356" spans="8:9" ht="12.75">
      <c r="H356" s="88"/>
      <c r="I356" s="88"/>
    </row>
    <row r="357" spans="8:9" ht="12.75">
      <c r="H357" s="88"/>
      <c r="I357" s="88"/>
    </row>
    <row r="358" spans="8:9" ht="12.75">
      <c r="H358" s="88"/>
      <c r="I358" s="88"/>
    </row>
    <row r="359" spans="8:9" ht="12.75">
      <c r="H359" s="88"/>
      <c r="I359" s="88"/>
    </row>
    <row r="360" spans="8:9" ht="12.75">
      <c r="H360" s="88"/>
      <c r="I360" s="88"/>
    </row>
    <row r="361" spans="8:9" ht="12.75">
      <c r="H361" s="88"/>
      <c r="I361" s="88"/>
    </row>
    <row r="362" spans="8:9" ht="12.75">
      <c r="H362" s="88"/>
      <c r="I362" s="88"/>
    </row>
    <row r="363" spans="8:9" ht="12.75">
      <c r="H363" s="88"/>
      <c r="I363" s="88"/>
    </row>
    <row r="364" spans="8:9" ht="12.75">
      <c r="H364" s="88"/>
      <c r="I364" s="88"/>
    </row>
    <row r="365" spans="8:9" ht="12.75">
      <c r="H365" s="88"/>
      <c r="I365" s="88"/>
    </row>
    <row r="366" spans="8:9" ht="12.75">
      <c r="H366" s="88"/>
      <c r="I366" s="88"/>
    </row>
    <row r="367" spans="8:9" ht="12.75">
      <c r="H367" s="88"/>
      <c r="I367" s="88"/>
    </row>
    <row r="368" spans="8:9" ht="12.75">
      <c r="H368" s="88"/>
      <c r="I368" s="88"/>
    </row>
    <row r="369" spans="8:9" ht="12.75">
      <c r="H369" s="88"/>
      <c r="I369" s="88"/>
    </row>
    <row r="370" spans="8:9" ht="12.75">
      <c r="H370" s="88"/>
      <c r="I370" s="88"/>
    </row>
    <row r="371" spans="8:9" ht="12.75">
      <c r="H371" s="88"/>
      <c r="I371" s="88"/>
    </row>
    <row r="372" spans="8:9" ht="12.75">
      <c r="H372" s="88"/>
      <c r="I372" s="88"/>
    </row>
    <row r="373" spans="8:9" ht="12.75">
      <c r="H373" s="88"/>
      <c r="I373" s="88"/>
    </row>
    <row r="374" spans="8:9" ht="12.75">
      <c r="H374" s="88"/>
      <c r="I374" s="88"/>
    </row>
    <row r="375" spans="8:9" ht="12.75">
      <c r="H375" s="88"/>
      <c r="I375" s="88"/>
    </row>
    <row r="376" spans="8:9" ht="12.75">
      <c r="H376" s="88"/>
      <c r="I376" s="88"/>
    </row>
    <row r="377" spans="8:9" ht="12.75">
      <c r="H377" s="88"/>
      <c r="I377" s="88"/>
    </row>
    <row r="378" spans="8:9" ht="12.75">
      <c r="H378" s="88"/>
      <c r="I378" s="88"/>
    </row>
    <row r="379" spans="8:9" ht="12.75">
      <c r="H379" s="88"/>
      <c r="I379" s="88"/>
    </row>
    <row r="380" spans="8:9" ht="12.75">
      <c r="H380" s="88"/>
      <c r="I380" s="88"/>
    </row>
    <row r="381" spans="8:9" ht="12.75">
      <c r="H381" s="88"/>
      <c r="I381" s="88"/>
    </row>
    <row r="382" spans="8:9" ht="12.75">
      <c r="H382" s="88"/>
      <c r="I382" s="88"/>
    </row>
    <row r="383" spans="8:9" ht="12.75">
      <c r="H383" s="88"/>
      <c r="I383" s="88"/>
    </row>
    <row r="384" spans="8:9" ht="12.75">
      <c r="H384" s="88"/>
      <c r="I384" s="88"/>
    </row>
    <row r="385" spans="8:9" ht="12.75">
      <c r="H385" s="88"/>
      <c r="I385" s="88"/>
    </row>
    <row r="386" spans="8:9" ht="12.75">
      <c r="H386" s="88"/>
      <c r="I386" s="88"/>
    </row>
    <row r="387" spans="8:9" ht="12.75">
      <c r="H387" s="88"/>
      <c r="I387" s="88"/>
    </row>
    <row r="388" spans="8:9" ht="12.75">
      <c r="H388" s="88"/>
      <c r="I388" s="88"/>
    </row>
    <row r="389" spans="8:9" ht="12.75">
      <c r="H389" s="88"/>
      <c r="I389" s="88"/>
    </row>
    <row r="390" spans="8:9" ht="12.75">
      <c r="H390" s="88"/>
      <c r="I390" s="88"/>
    </row>
    <row r="391" spans="8:9" ht="12.75">
      <c r="H391" s="88"/>
      <c r="I391" s="88"/>
    </row>
    <row r="392" spans="8:9" ht="12.75">
      <c r="H392" s="88"/>
      <c r="I392" s="88"/>
    </row>
    <row r="393" spans="8:9" ht="12.75">
      <c r="H393" s="88"/>
      <c r="I393" s="88"/>
    </row>
    <row r="394" spans="8:9" ht="12.75">
      <c r="H394" s="88"/>
      <c r="I394" s="88"/>
    </row>
    <row r="395" spans="8:9" ht="12.75">
      <c r="H395" s="88"/>
      <c r="I395" s="88"/>
    </row>
    <row r="396" spans="8:9" ht="12.75">
      <c r="H396" s="88"/>
      <c r="I396" s="88"/>
    </row>
    <row r="397" spans="8:9" ht="12.75">
      <c r="H397" s="88"/>
      <c r="I397" s="88"/>
    </row>
    <row r="398" spans="8:9" ht="12.75">
      <c r="H398" s="88"/>
      <c r="I398" s="88"/>
    </row>
    <row r="399" spans="8:9" ht="12.75">
      <c r="H399" s="88"/>
      <c r="I399" s="88"/>
    </row>
    <row r="400" spans="8:9" ht="12.75">
      <c r="H400" s="88"/>
      <c r="I400" s="88"/>
    </row>
    <row r="401" spans="8:9" ht="12.75">
      <c r="H401" s="88"/>
      <c r="I401" s="88"/>
    </row>
    <row r="402" spans="8:9" ht="12.75">
      <c r="H402" s="88"/>
      <c r="I402" s="88"/>
    </row>
    <row r="403" spans="8:9" ht="12.75">
      <c r="H403" s="88"/>
      <c r="I403" s="88"/>
    </row>
    <row r="404" spans="8:9" ht="12.75">
      <c r="H404" s="88"/>
      <c r="I404" s="88"/>
    </row>
    <row r="405" spans="8:9" ht="12.75">
      <c r="H405" s="88"/>
      <c r="I405" s="88"/>
    </row>
    <row r="406" spans="8:9" ht="12.75">
      <c r="H406" s="88"/>
      <c r="I406" s="88"/>
    </row>
    <row r="407" spans="8:9" ht="12.75">
      <c r="H407" s="88"/>
      <c r="I407" s="88"/>
    </row>
    <row r="408" spans="8:9" ht="12.75">
      <c r="H408" s="88"/>
      <c r="I408" s="88"/>
    </row>
    <row r="409" spans="8:9" ht="12.75">
      <c r="H409" s="88"/>
      <c r="I409" s="88"/>
    </row>
    <row r="410" spans="8:9" ht="12.75">
      <c r="H410" s="88"/>
      <c r="I410" s="88"/>
    </row>
    <row r="411" spans="8:9" ht="12.75">
      <c r="H411" s="88"/>
      <c r="I411" s="88"/>
    </row>
    <row r="412" spans="8:9" ht="12.75">
      <c r="H412" s="88"/>
      <c r="I412" s="88"/>
    </row>
    <row r="413" spans="8:9" ht="12.75">
      <c r="H413" s="88"/>
      <c r="I413" s="88"/>
    </row>
    <row r="414" spans="8:9" ht="12.75">
      <c r="H414" s="88"/>
      <c r="I414" s="88"/>
    </row>
    <row r="415" spans="8:9" ht="12.75">
      <c r="H415" s="88"/>
      <c r="I415" s="88"/>
    </row>
    <row r="416" spans="8:9" ht="12.75">
      <c r="H416" s="88"/>
      <c r="I416" s="88"/>
    </row>
    <row r="417" spans="8:9" ht="12.75">
      <c r="H417" s="88"/>
      <c r="I417" s="88"/>
    </row>
    <row r="418" spans="8:9" ht="12.75">
      <c r="H418" s="88"/>
      <c r="I418" s="88"/>
    </row>
    <row r="419" spans="8:9" ht="12.75">
      <c r="H419" s="88"/>
      <c r="I419" s="88"/>
    </row>
    <row r="420" spans="8:9" ht="12.75">
      <c r="H420" s="88"/>
      <c r="I420" s="88"/>
    </row>
    <row r="421" spans="8:9" ht="12.75">
      <c r="H421" s="88"/>
      <c r="I421" s="88"/>
    </row>
    <row r="422" spans="8:9" ht="12.75">
      <c r="H422" s="88"/>
      <c r="I422" s="88"/>
    </row>
    <row r="423" spans="8:9" ht="12.75">
      <c r="H423" s="88"/>
      <c r="I423" s="88"/>
    </row>
    <row r="424" spans="8:9" ht="12.75">
      <c r="H424" s="88"/>
      <c r="I424" s="88"/>
    </row>
    <row r="425" spans="8:9" ht="12.75">
      <c r="H425" s="88"/>
      <c r="I425" s="88"/>
    </row>
    <row r="426" spans="8:9" ht="12.75">
      <c r="H426" s="88"/>
      <c r="I426" s="88"/>
    </row>
    <row r="427" spans="8:9" ht="12.75">
      <c r="H427" s="88"/>
      <c r="I427" s="88"/>
    </row>
    <row r="428" spans="8:9" ht="12.75">
      <c r="H428" s="88"/>
      <c r="I428" s="88"/>
    </row>
    <row r="429" spans="8:9" ht="12.75">
      <c r="H429" s="88"/>
      <c r="I429" s="88"/>
    </row>
    <row r="430" spans="8:9" ht="12.75">
      <c r="H430" s="88"/>
      <c r="I430" s="88"/>
    </row>
  </sheetData>
  <sheetProtection/>
  <mergeCells count="5">
    <mergeCell ref="A1:I4"/>
    <mergeCell ref="A6:E6"/>
    <mergeCell ref="F6:I6"/>
    <mergeCell ref="A33:F33"/>
    <mergeCell ref="H33:J33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430"/>
  <sheetViews>
    <sheetView zoomScale="85" zoomScaleNormal="85" workbookViewId="0" topLeftCell="A1">
      <selection activeCell="H37" sqref="H37"/>
    </sheetView>
  </sheetViews>
  <sheetFormatPr defaultColWidth="9.140625" defaultRowHeight="12.75"/>
  <cols>
    <col min="1" max="1" width="9.140625" style="88" customWidth="1"/>
    <col min="2" max="2" width="13.28125" style="88" customWidth="1"/>
    <col min="3" max="3" width="12.57421875" style="88" customWidth="1"/>
    <col min="4" max="4" width="11.57421875" style="88" customWidth="1"/>
    <col min="5" max="5" width="11.8515625" style="88" customWidth="1"/>
    <col min="6" max="6" width="11.00390625" style="88" customWidth="1"/>
    <col min="7" max="7" width="11.57421875" style="88" customWidth="1"/>
    <col min="8" max="8" width="11.7109375" style="124" customWidth="1"/>
    <col min="9" max="9" width="11.28125" style="124" customWidth="1"/>
    <col min="10" max="10" width="6.57421875" style="88" customWidth="1"/>
    <col min="11" max="11" width="11.421875" style="88" customWidth="1"/>
    <col min="12" max="12" width="13.7109375" style="88" customWidth="1"/>
    <col min="13" max="13" width="22.8515625" style="88" customWidth="1"/>
    <col min="14" max="16384" width="9.140625" style="88" customWidth="1"/>
  </cols>
  <sheetData>
    <row r="1" spans="1:15" ht="12.75">
      <c r="A1" s="244" t="s">
        <v>86</v>
      </c>
      <c r="B1" s="245"/>
      <c r="C1" s="245"/>
      <c r="D1" s="245"/>
      <c r="E1" s="245"/>
      <c r="F1" s="245"/>
      <c r="G1" s="245"/>
      <c r="H1" s="245"/>
      <c r="I1" s="245"/>
      <c r="J1" s="79"/>
      <c r="K1" s="79"/>
      <c r="L1" s="79"/>
      <c r="M1" s="107"/>
      <c r="N1" s="107"/>
      <c r="O1" s="107"/>
    </row>
    <row r="2" spans="1:15" ht="12.75">
      <c r="A2" s="246"/>
      <c r="B2" s="245"/>
      <c r="C2" s="245"/>
      <c r="D2" s="245"/>
      <c r="E2" s="245"/>
      <c r="F2" s="245"/>
      <c r="G2" s="245"/>
      <c r="H2" s="245"/>
      <c r="I2" s="245"/>
      <c r="J2" s="79"/>
      <c r="K2" s="79"/>
      <c r="L2" s="79"/>
      <c r="M2" s="107"/>
      <c r="N2" s="107"/>
      <c r="O2" s="107"/>
    </row>
    <row r="3" spans="1:15" ht="12.75">
      <c r="A3" s="245"/>
      <c r="B3" s="245"/>
      <c r="C3" s="245"/>
      <c r="D3" s="245"/>
      <c r="E3" s="245"/>
      <c r="F3" s="245"/>
      <c r="G3" s="245"/>
      <c r="H3" s="245"/>
      <c r="I3" s="245"/>
      <c r="J3" s="79"/>
      <c r="K3" s="79"/>
      <c r="L3" s="79"/>
      <c r="M3" s="107"/>
      <c r="N3" s="107"/>
      <c r="O3" s="107"/>
    </row>
    <row r="4" spans="1:15" ht="12.75">
      <c r="A4" s="245"/>
      <c r="B4" s="245"/>
      <c r="C4" s="245"/>
      <c r="D4" s="245"/>
      <c r="E4" s="245"/>
      <c r="F4" s="245"/>
      <c r="G4" s="245"/>
      <c r="H4" s="245"/>
      <c r="I4" s="245"/>
      <c r="J4" s="79"/>
      <c r="K4" s="79"/>
      <c r="L4" s="79"/>
      <c r="M4" s="107"/>
      <c r="N4" s="107"/>
      <c r="O4" s="107"/>
    </row>
    <row r="5" spans="1:15" ht="20.25">
      <c r="A5" s="80" t="str">
        <f>IF(NVTable_Data_Entry!L47=1,"OSU-NFOA Winter Wheat Max Yield Algorithm",IF(NVTable_Data_Entry!L47=2,"OSU-NFOA Spring Wheat Max Yield Algorithm","OSU-NFOA Corn Max Yield Algorithm"))</f>
        <v>OSU-NFOA Winter Wheat Max Yield Algorithm</v>
      </c>
      <c r="B5" s="78"/>
      <c r="C5" s="78"/>
      <c r="D5" s="78"/>
      <c r="E5" s="78"/>
      <c r="F5" s="78"/>
      <c r="G5" s="78"/>
      <c r="H5" s="78"/>
      <c r="I5" s="78"/>
      <c r="J5" s="79"/>
      <c r="K5" s="79"/>
      <c r="L5" s="79"/>
      <c r="M5" s="107"/>
      <c r="N5" s="107"/>
      <c r="O5" s="107"/>
    </row>
    <row r="6" spans="1:15" ht="13.5" thickBot="1">
      <c r="A6" s="247" t="s">
        <v>15</v>
      </c>
      <c r="B6" s="248"/>
      <c r="C6" s="248"/>
      <c r="D6" s="248"/>
      <c r="E6" s="248"/>
      <c r="F6" s="248" t="s">
        <v>9</v>
      </c>
      <c r="G6" s="248"/>
      <c r="H6" s="248"/>
      <c r="I6" s="248"/>
      <c r="J6" s="81"/>
      <c r="K6" s="81"/>
      <c r="L6" s="81"/>
      <c r="M6" s="107"/>
      <c r="N6" s="107"/>
      <c r="O6" s="107"/>
    </row>
    <row r="7" spans="1:15" ht="12.75">
      <c r="A7" s="82"/>
      <c r="B7" s="83" t="s">
        <v>20</v>
      </c>
      <c r="C7" s="83" t="s">
        <v>21</v>
      </c>
      <c r="D7" s="63" t="s">
        <v>133</v>
      </c>
      <c r="E7" s="82"/>
      <c r="F7" s="82"/>
      <c r="G7" s="82"/>
      <c r="H7" s="84"/>
      <c r="I7" s="84"/>
      <c r="J7" s="82"/>
      <c r="K7" s="82"/>
      <c r="L7" s="82"/>
      <c r="M7" s="107"/>
      <c r="N7" s="107"/>
      <c r="O7" s="107"/>
    </row>
    <row r="8" spans="1:15" ht="12.75">
      <c r="A8" s="82"/>
      <c r="B8" s="85">
        <f>NVTable_Data_Entry!B8</f>
        <v>0.32</v>
      </c>
      <c r="C8" s="85">
        <f>NVTable_Data_Entry!C8</f>
        <v>0.7</v>
      </c>
      <c r="D8" s="85">
        <f>NVTable_Data_Entry!D8</f>
        <v>0.8</v>
      </c>
      <c r="E8" s="82"/>
      <c r="F8" s="86">
        <f>NVTable_Data_Entry!F8</f>
        <v>0.532</v>
      </c>
      <c r="G8" s="87">
        <f>NVTable_Data_Entry!G8</f>
        <v>270.1</v>
      </c>
      <c r="H8" s="87">
        <f>NVTable_Data_Entry!H8</f>
        <v>0.0239</v>
      </c>
      <c r="I8" s="87">
        <f>NVTable_Data_Entry!I8</f>
        <v>60</v>
      </c>
      <c r="J8" s="82"/>
      <c r="K8" s="82"/>
      <c r="L8" s="82"/>
      <c r="M8" s="107"/>
      <c r="N8" s="107"/>
      <c r="O8" s="107"/>
    </row>
    <row r="9" spans="1:15" ht="12.75">
      <c r="A9" s="82"/>
      <c r="B9" s="84"/>
      <c r="C9" s="84"/>
      <c r="D9" s="82"/>
      <c r="E9" s="82"/>
      <c r="F9" s="82"/>
      <c r="G9" s="82"/>
      <c r="H9" s="82"/>
      <c r="I9" s="84"/>
      <c r="J9" s="82"/>
      <c r="K9" s="82"/>
      <c r="L9" s="82"/>
      <c r="M9" s="107"/>
      <c r="N9" s="107"/>
      <c r="O9" s="107"/>
    </row>
    <row r="10" spans="1:15" ht="12.75">
      <c r="A10" s="82"/>
      <c r="B10" s="83" t="s">
        <v>50</v>
      </c>
      <c r="C10" s="84"/>
      <c r="D10" s="82"/>
      <c r="E10" s="82"/>
      <c r="F10" s="82"/>
      <c r="G10" s="82"/>
      <c r="H10" s="82"/>
      <c r="I10" s="84"/>
      <c r="J10" s="82"/>
      <c r="K10" s="82"/>
      <c r="L10" s="82"/>
      <c r="M10" s="107"/>
      <c r="N10" s="107"/>
      <c r="O10" s="107"/>
    </row>
    <row r="11" spans="1:15" ht="12.75">
      <c r="A11" s="82"/>
      <c r="C11" s="89"/>
      <c r="D11" s="82"/>
      <c r="E11" s="82"/>
      <c r="F11" s="82"/>
      <c r="G11" s="82"/>
      <c r="H11" s="82"/>
      <c r="I11" s="84"/>
      <c r="J11" s="82"/>
      <c r="K11" s="82"/>
      <c r="L11" s="82"/>
      <c r="M11" s="107"/>
      <c r="N11" s="107"/>
      <c r="O11" s="107"/>
    </row>
    <row r="12" spans="1:15" ht="12.75">
      <c r="A12" s="82"/>
      <c r="B12" s="89"/>
      <c r="C12" s="89"/>
      <c r="D12" s="82"/>
      <c r="E12" s="90"/>
      <c r="F12" s="82"/>
      <c r="G12" s="82"/>
      <c r="H12" s="82"/>
      <c r="I12" s="84"/>
      <c r="J12" s="82"/>
      <c r="K12" s="82"/>
      <c r="L12" s="82"/>
      <c r="M12" s="107"/>
      <c r="N12" s="107"/>
      <c r="O12" s="107"/>
    </row>
    <row r="13" spans="1:15" ht="12.75">
      <c r="A13" s="82"/>
      <c r="B13" s="91" t="s">
        <v>22</v>
      </c>
      <c r="C13" s="89"/>
      <c r="D13" s="82"/>
      <c r="E13" s="90"/>
      <c r="F13" s="83"/>
      <c r="G13" s="84"/>
      <c r="H13" s="82"/>
      <c r="I13" s="84"/>
      <c r="J13" s="82"/>
      <c r="K13" s="82"/>
      <c r="L13" s="82"/>
      <c r="M13" s="107"/>
      <c r="N13" s="107"/>
      <c r="O13" s="107"/>
    </row>
    <row r="14" spans="1:15" ht="12.75">
      <c r="A14" s="82"/>
      <c r="B14" s="92">
        <f>NVTable_Data_Entry!B14</f>
        <v>0.6</v>
      </c>
      <c r="C14" s="84" t="s">
        <v>23</v>
      </c>
      <c r="D14" s="82"/>
      <c r="E14" s="90"/>
      <c r="F14" s="82"/>
      <c r="G14" s="82"/>
      <c r="H14" s="84"/>
      <c r="I14" s="84"/>
      <c r="J14" s="82"/>
      <c r="K14" s="82"/>
      <c r="L14" s="82"/>
      <c r="M14" s="107"/>
      <c r="N14" s="107"/>
      <c r="O14" s="107"/>
    </row>
    <row r="15" spans="1:15" ht="12.75">
      <c r="A15" s="93"/>
      <c r="B15" s="84"/>
      <c r="C15" s="84"/>
      <c r="D15" s="82"/>
      <c r="E15" s="82"/>
      <c r="F15" s="82"/>
      <c r="G15" s="82"/>
      <c r="H15" s="82"/>
      <c r="I15" s="84"/>
      <c r="J15" s="82"/>
      <c r="K15" s="82"/>
      <c r="L15" s="82"/>
      <c r="M15" s="107"/>
      <c r="N15" s="107"/>
      <c r="O15" s="107"/>
    </row>
    <row r="16" spans="1:15" ht="12.75">
      <c r="A16" s="93"/>
      <c r="B16" s="94" t="s">
        <v>0</v>
      </c>
      <c r="C16" s="94" t="s">
        <v>2</v>
      </c>
      <c r="D16" s="82"/>
      <c r="E16" s="95" t="s">
        <v>24</v>
      </c>
      <c r="F16" s="82"/>
      <c r="G16" s="96"/>
      <c r="H16" s="82"/>
      <c r="I16" s="82"/>
      <c r="J16" s="82"/>
      <c r="K16" s="82"/>
      <c r="L16" s="82"/>
      <c r="M16" s="107"/>
      <c r="N16" s="107"/>
      <c r="O16" s="107"/>
    </row>
    <row r="17" spans="1:15" ht="12.75">
      <c r="A17" s="82"/>
      <c r="B17" s="97">
        <f>$C$8/$B$8</f>
        <v>2.1875</v>
      </c>
      <c r="C17" s="85">
        <f>NVTable_Data_Entry!C17</f>
        <v>90</v>
      </c>
      <c r="D17" s="82"/>
      <c r="E17" s="98" t="str">
        <f>NVTable_Data_Entry!E17</f>
        <v>OSU</v>
      </c>
      <c r="F17" s="99"/>
      <c r="G17" s="99"/>
      <c r="H17" s="100"/>
      <c r="I17" s="82"/>
      <c r="J17" s="82"/>
      <c r="K17" s="82"/>
      <c r="L17" s="82"/>
      <c r="M17" s="107"/>
      <c r="N17" s="107"/>
      <c r="O17" s="107"/>
    </row>
    <row r="18" spans="1:15" ht="12.75">
      <c r="A18" s="82"/>
      <c r="B18" s="84"/>
      <c r="C18" s="84"/>
      <c r="D18" s="82"/>
      <c r="E18" s="82"/>
      <c r="F18" s="82"/>
      <c r="G18" s="96"/>
      <c r="H18" s="82"/>
      <c r="I18" s="82"/>
      <c r="J18" s="82"/>
      <c r="K18" s="82"/>
      <c r="L18" s="82"/>
      <c r="M18" s="107"/>
      <c r="N18" s="107"/>
      <c r="O18" s="107"/>
    </row>
    <row r="19" spans="1:15" ht="12.75">
      <c r="A19" s="82"/>
      <c r="B19" s="83" t="s">
        <v>13</v>
      </c>
      <c r="C19" s="91"/>
      <c r="D19" s="82"/>
      <c r="E19" s="95" t="s">
        <v>25</v>
      </c>
      <c r="F19" s="82"/>
      <c r="G19" s="83"/>
      <c r="H19" s="84"/>
      <c r="I19" s="84"/>
      <c r="J19" s="82"/>
      <c r="K19" s="82"/>
      <c r="L19" s="82"/>
      <c r="M19" s="107"/>
      <c r="N19" s="107"/>
      <c r="O19" s="107"/>
    </row>
    <row r="20" spans="1:15" ht="12.75">
      <c r="A20" s="82"/>
      <c r="B20" s="85">
        <f>NVTable_Data_Entry!B20</f>
        <v>90</v>
      </c>
      <c r="C20" s="84"/>
      <c r="D20" s="82"/>
      <c r="E20" s="98" t="str">
        <f>NVTable_Data_Entry!E20</f>
        <v>JD 2520</v>
      </c>
      <c r="F20" s="101"/>
      <c r="G20" s="102"/>
      <c r="H20" s="103"/>
      <c r="I20" s="84"/>
      <c r="J20" s="82"/>
      <c r="K20" s="82"/>
      <c r="L20" s="82"/>
      <c r="M20" s="107"/>
      <c r="N20" s="107"/>
      <c r="O20" s="107"/>
    </row>
    <row r="21" spans="1:15" ht="12.75">
      <c r="A21" s="82"/>
      <c r="B21" s="82"/>
      <c r="C21" s="82"/>
      <c r="D21" s="82"/>
      <c r="E21" s="82"/>
      <c r="F21" s="82"/>
      <c r="G21" s="83"/>
      <c r="H21" s="82"/>
      <c r="I21" s="84"/>
      <c r="J21" s="82"/>
      <c r="K21" s="82"/>
      <c r="L21" s="82"/>
      <c r="M21" s="107"/>
      <c r="N21" s="107"/>
      <c r="O21" s="107"/>
    </row>
    <row r="22" spans="1:15" ht="13.5" thickBot="1">
      <c r="A22" s="82"/>
      <c r="B22" s="96" t="s">
        <v>53</v>
      </c>
      <c r="C22" s="96" t="s">
        <v>65</v>
      </c>
      <c r="D22" s="96" t="s">
        <v>177</v>
      </c>
      <c r="E22" s="95" t="s">
        <v>38</v>
      </c>
      <c r="F22" s="82"/>
      <c r="G22" s="96"/>
      <c r="H22" s="84"/>
      <c r="I22" s="84"/>
      <c r="J22" s="82"/>
      <c r="K22" s="82"/>
      <c r="L22" s="82"/>
      <c r="M22" s="107"/>
      <c r="N22" s="107"/>
      <c r="O22" s="107"/>
    </row>
    <row r="23" spans="1:15" ht="13.5" thickBot="1">
      <c r="A23" s="82"/>
      <c r="B23" s="104" t="str">
        <f>NVTable_Data_Entry!B23</f>
        <v>n</v>
      </c>
      <c r="C23" s="174">
        <f>NVTable_Data_Entry!C23</f>
        <v>5</v>
      </c>
      <c r="D23" s="166">
        <f>PSTable_New!E26</f>
        <v>2.99</v>
      </c>
      <c r="E23" s="98" t="str">
        <f>NVTable_Data_Entry!E23</f>
        <v>testcorn</v>
      </c>
      <c r="F23" s="82"/>
      <c r="G23" s="82"/>
      <c r="H23" s="84"/>
      <c r="I23" s="84"/>
      <c r="J23" s="82"/>
      <c r="K23" s="82"/>
      <c r="L23" s="82"/>
      <c r="M23" s="107"/>
      <c r="N23" s="107"/>
      <c r="O23" s="107"/>
    </row>
    <row r="24" spans="1:15" ht="12.75">
      <c r="A24" s="82"/>
      <c r="B24" s="82"/>
      <c r="C24" s="82"/>
      <c r="D24" s="82"/>
      <c r="E24" s="82"/>
      <c r="F24" s="82"/>
      <c r="G24" s="82"/>
      <c r="H24" s="84"/>
      <c r="I24" s="84"/>
      <c r="J24" s="82"/>
      <c r="K24" s="82"/>
      <c r="L24" s="82"/>
      <c r="M24" s="107"/>
      <c r="N24" s="107"/>
      <c r="O24" s="107"/>
    </row>
    <row r="25" spans="1:15" ht="12.75">
      <c r="A25" s="82"/>
      <c r="B25" s="96" t="s">
        <v>54</v>
      </c>
      <c r="C25" s="96" t="s">
        <v>55</v>
      </c>
      <c r="D25" s="82"/>
      <c r="E25" s="63"/>
      <c r="F25" s="82"/>
      <c r="G25" s="82"/>
      <c r="H25" s="84"/>
      <c r="I25" s="84"/>
      <c r="J25" s="82"/>
      <c r="K25" s="82"/>
      <c r="L25" s="82"/>
      <c r="M25" s="107"/>
      <c r="N25" s="107"/>
      <c r="O25" s="107"/>
    </row>
    <row r="26" spans="1:15" ht="12.75">
      <c r="A26" s="82"/>
      <c r="B26" s="104" t="str">
        <f>NVTable_Data_Entry!B26</f>
        <v>n</v>
      </c>
      <c r="C26" s="104">
        <f>NVTable_Data_Entry!C26</f>
        <v>7</v>
      </c>
      <c r="D26" s="82"/>
      <c r="E26" s="63"/>
      <c r="F26" s="82"/>
      <c r="G26" s="82"/>
      <c r="H26" s="84"/>
      <c r="I26" s="84"/>
      <c r="J26" s="82"/>
      <c r="K26" s="82"/>
      <c r="L26" s="82"/>
      <c r="M26" s="107"/>
      <c r="N26" s="107"/>
      <c r="O26" s="107"/>
    </row>
    <row r="27" spans="1:15" ht="13.5" thickBot="1">
      <c r="A27" s="82"/>
      <c r="B27" s="82"/>
      <c r="C27" s="82"/>
      <c r="D27" s="82"/>
      <c r="E27" s="82"/>
      <c r="F27" s="82"/>
      <c r="G27" s="82"/>
      <c r="H27" s="84"/>
      <c r="I27" s="84"/>
      <c r="J27" s="82"/>
      <c r="K27" s="82"/>
      <c r="L27" s="82"/>
      <c r="M27" s="107"/>
      <c r="N27" s="107"/>
      <c r="O27" s="107"/>
    </row>
    <row r="28" spans="1:15" ht="13.5" thickTop="1">
      <c r="A28" s="105"/>
      <c r="B28" s="105"/>
      <c r="C28" s="105"/>
      <c r="D28" s="105"/>
      <c r="E28" s="105"/>
      <c r="F28" s="105"/>
      <c r="G28" s="105"/>
      <c r="H28" s="106"/>
      <c r="I28" s="106"/>
      <c r="J28" s="105"/>
      <c r="K28" s="105"/>
      <c r="L28" s="105"/>
      <c r="M28" s="107"/>
      <c r="N28" s="107"/>
      <c r="O28" s="107"/>
    </row>
    <row r="29" spans="1:15" ht="12.75">
      <c r="A29" s="107" t="s">
        <v>14</v>
      </c>
      <c r="B29" s="107"/>
      <c r="C29" s="107"/>
      <c r="D29" s="108" t="s">
        <v>18</v>
      </c>
      <c r="E29" s="107"/>
      <c r="F29" s="107"/>
      <c r="G29" s="107"/>
      <c r="H29" s="109"/>
      <c r="I29" s="109"/>
      <c r="J29" s="107"/>
      <c r="K29" s="107"/>
      <c r="L29" s="107"/>
      <c r="M29" s="107"/>
      <c r="N29" s="107"/>
      <c r="O29" s="107"/>
    </row>
    <row r="30" spans="1:15" ht="12.75">
      <c r="A30" s="108" t="s">
        <v>19</v>
      </c>
      <c r="B30" s="107"/>
      <c r="C30" s="107"/>
      <c r="D30" s="108" t="s">
        <v>17</v>
      </c>
      <c r="E30" s="107"/>
      <c r="F30" s="107"/>
      <c r="G30" s="107"/>
      <c r="H30" s="109"/>
      <c r="I30" s="109"/>
      <c r="J30" s="107"/>
      <c r="K30" s="107"/>
      <c r="L30" s="107"/>
      <c r="M30" s="107"/>
      <c r="N30" s="107"/>
      <c r="O30" s="107"/>
    </row>
    <row r="31" spans="1:15" ht="12.75">
      <c r="A31" s="109"/>
      <c r="B31" s="107"/>
      <c r="C31" s="107"/>
      <c r="D31" s="107"/>
      <c r="E31" s="107"/>
      <c r="F31" s="107"/>
      <c r="G31" s="107"/>
      <c r="H31" s="109"/>
      <c r="I31" s="109"/>
      <c r="J31" s="107"/>
      <c r="K31" s="107"/>
      <c r="L31" s="107"/>
      <c r="M31" s="107"/>
      <c r="N31" s="107"/>
      <c r="O31" s="107"/>
    </row>
    <row r="32" spans="1:15" ht="12.75">
      <c r="A32" s="110" t="s">
        <v>42</v>
      </c>
      <c r="B32" s="107"/>
      <c r="C32" s="107"/>
      <c r="D32" s="107"/>
      <c r="E32" s="107"/>
      <c r="F32" s="107"/>
      <c r="G32" s="107"/>
      <c r="H32" s="109"/>
      <c r="I32" s="109"/>
      <c r="J32" s="107"/>
      <c r="K32" s="107"/>
      <c r="L32" s="107"/>
      <c r="M32" s="107"/>
      <c r="N32" s="107"/>
      <c r="O32" s="107"/>
    </row>
    <row r="33" spans="1:15" ht="13.5" thickBot="1">
      <c r="A33" s="249" t="s">
        <v>8</v>
      </c>
      <c r="B33" s="249"/>
      <c r="C33" s="249"/>
      <c r="D33" s="249"/>
      <c r="E33" s="249"/>
      <c r="F33" s="249"/>
      <c r="G33" s="111"/>
      <c r="H33" s="249" t="s">
        <v>7</v>
      </c>
      <c r="I33" s="250"/>
      <c r="J33" s="250"/>
      <c r="K33" s="112"/>
      <c r="L33" s="111"/>
      <c r="M33" s="107"/>
      <c r="N33" s="107"/>
      <c r="O33" s="107"/>
    </row>
    <row r="34" spans="1:15" ht="12.75">
      <c r="A34" s="113"/>
      <c r="B34" s="113"/>
      <c r="C34" s="114" t="s">
        <v>16</v>
      </c>
      <c r="D34" s="113"/>
      <c r="E34" s="113"/>
      <c r="F34" s="113"/>
      <c r="G34" s="114" t="s">
        <v>16</v>
      </c>
      <c r="H34" s="113"/>
      <c r="I34" s="115"/>
      <c r="J34" s="115"/>
      <c r="K34" s="115"/>
      <c r="L34" s="111"/>
      <c r="M34" s="107"/>
      <c r="N34" s="107"/>
      <c r="O34" s="107"/>
    </row>
    <row r="35" spans="1:15" ht="12.75">
      <c r="A35" s="116" t="s">
        <v>6</v>
      </c>
      <c r="B35" s="116" t="s">
        <v>1</v>
      </c>
      <c r="C35" s="116" t="str">
        <f>IF(NVTable_Data_Entry!D68=1,"'ml UAN(28)/m2",IF(NVTable_Data_Entry!D68=2,"mL UAN(32)/m2","mL soln 24/m2"))</f>
        <v>'ml UAN(28)/m2</v>
      </c>
      <c r="D35" s="116" t="s">
        <v>11</v>
      </c>
      <c r="E35" s="116" t="s">
        <v>12</v>
      </c>
      <c r="F35" s="117" t="s">
        <v>39</v>
      </c>
      <c r="G35" s="116" t="s">
        <v>3</v>
      </c>
      <c r="H35" s="116" t="s">
        <v>4</v>
      </c>
      <c r="I35" s="116" t="s">
        <v>5</v>
      </c>
      <c r="J35" s="116"/>
      <c r="K35" s="116" t="s">
        <v>4</v>
      </c>
      <c r="L35" s="116" t="s">
        <v>49</v>
      </c>
      <c r="M35" s="175"/>
      <c r="N35" s="119"/>
      <c r="O35" s="111"/>
    </row>
    <row r="36" spans="1:15" ht="12.75">
      <c r="A36" s="111">
        <v>0</v>
      </c>
      <c r="B36" s="111">
        <v>0.25</v>
      </c>
      <c r="C36" s="111">
        <f>MAX(((((MIN((($F$8*EXP(((($C$8))/$C$17)*$G$8))*1000/1.12/$I$8),$B$20)*$I$8*$H$8)-(MIN((($F$8*EXP((((B36))/$C$17)*$G$8))*1000/1.12/$I$8),$B$20)*$I$8*$H$8))*IF(NVTable_Data_Entry!$D$68=1,0.313,IF(NVTable_Data_Entry!$D$68=2,0.263,0.403))))/0.6,0)</f>
        <v>35.85866631656553</v>
      </c>
      <c r="D36" s="111">
        <f>B36/$C$17</f>
        <v>0.002777777777777778</v>
      </c>
      <c r="E36" s="111">
        <f>MIN(((($F$8*EXP(D36*$G$8))*1000)/1.12/$I$8),$B$20)</f>
        <v>16.76423955135043</v>
      </c>
      <c r="F36" s="111">
        <f>MIN(((($F$8*EXP(($C$8/$C$17)*$G$8))*1000)/1.12/$I$8),$B$20)</f>
        <v>64.69914713562132</v>
      </c>
      <c r="G36" s="111">
        <f>MAX((((F36*$I$8*$H$8)-(E36*$I$8*$H$8))/$B$14),0)</f>
        <v>114.56442912640745</v>
      </c>
      <c r="H36" s="111">
        <f>IF($B$26="y",99,0)</f>
        <v>0</v>
      </c>
      <c r="I36" s="111">
        <f>LOOKUP(H36,$K$36:$K$43,$L$36:$L$43)</f>
        <v>0</v>
      </c>
      <c r="J36" s="111"/>
      <c r="K36" s="118">
        <v>0</v>
      </c>
      <c r="L36" s="118">
        <v>0</v>
      </c>
      <c r="M36" s="176"/>
      <c r="N36" s="119"/>
      <c r="O36" s="111"/>
    </row>
    <row r="37" spans="1:15" ht="12.75">
      <c r="A37" s="111">
        <v>1</v>
      </c>
      <c r="B37" s="111">
        <v>0.26</v>
      </c>
      <c r="C37" s="111">
        <f>MAX(((((MIN((($F$8*EXP(((($C$8))/$C$17)*$G$8))*1000/1.12/$I$8),$B$20)*$I$8*$H$8)-(MIN((($F$8*EXP((((B37))/$C$17)*$G$8))*1000/1.12/$I$8),$B$20)*$I$8*$H$8))*IF(NVTable_Data_Entry!$D$68=1,0.313,IF(NVTable_Data_Entry!$D$68=2,0.263,0.403))))/0.6,0)</f>
        <v>35.47659775860252</v>
      </c>
      <c r="D37" s="111">
        <f aca="true" t="shared" si="0" ref="D37:D99">B37/$C$17</f>
        <v>0.002888888888888889</v>
      </c>
      <c r="E37" s="111">
        <f aca="true" t="shared" si="1" ref="E37:E99">MIN(((($F$8*EXP(D37*$G$8))*1000)/1.12/$I$8),$B$20)</f>
        <v>17.274978597112202</v>
      </c>
      <c r="F37" s="111">
        <f aca="true" t="shared" si="2" ref="F37:F99">MIN(((($F$8*EXP(($C$8/$C$17)*$G$8))*1000)/1.12/$I$8),$B$20)</f>
        <v>64.69914713562132</v>
      </c>
      <c r="G37" s="111">
        <f>MAX((((F37*$I$8*$H$8)-(E37*$I$8*$H$8))/$B$14),0)</f>
        <v>113.3437628070368</v>
      </c>
      <c r="H37" s="111">
        <f>IF($B$26="y",0,(MAX(0,IF($B$23="y",(LOOKUP(MAX((G37-$C$23*$D$23),0)+$L$37/2,$L$36:$L$43,$K$36:$K$43)),(LOOKUP(G37+$L$37/2,$L$36:$L$43,$K$36:$K$43))))))</f>
        <v>7</v>
      </c>
      <c r="I37" s="111">
        <f aca="true" t="shared" si="3" ref="I37:I99">LOOKUP(H37,$K$36:$K$43,$L$36:$L$43)</f>
        <v>100.68621235058032</v>
      </c>
      <c r="J37" s="111"/>
      <c r="K37" s="118">
        <v>1</v>
      </c>
      <c r="L37" s="118">
        <f>vs1</f>
        <v>14.575369347832464</v>
      </c>
      <c r="M37" s="118"/>
      <c r="N37" s="111"/>
      <c r="O37" s="111"/>
    </row>
    <row r="38" spans="1:15" ht="12.75">
      <c r="A38" s="111">
        <v>2</v>
      </c>
      <c r="B38" s="111">
        <v>0.27</v>
      </c>
      <c r="C38" s="111">
        <f>MAX(((((MIN((($F$8*EXP(((($C$8))/$C$17)*$G$8))*1000/1.12/$I$8),$B$20)*$I$8*$H$8)-(MIN((($F$8*EXP((((B38))/$C$17)*$G$8))*1000/1.12/$I$8),$B$20)*$I$8*$H$8))*IF(NVTable_Data_Entry!$D$68=1,0.313,IF(NVTable_Data_Entry!$D$68=2,0.263,0.403))))/0.6,0)</f>
        <v>35.082889106252175</v>
      </c>
      <c r="D38" s="111">
        <f t="shared" si="0"/>
        <v>0.003</v>
      </c>
      <c r="E38" s="111">
        <f t="shared" si="1"/>
        <v>17.801277810221062</v>
      </c>
      <c r="F38" s="111">
        <f t="shared" si="2"/>
        <v>64.69914713562132</v>
      </c>
      <c r="G38" s="111">
        <f aca="true" t="shared" si="4" ref="G38:G99">MAX((((F38*$I$8*$H$8)-(E38*$I$8*$H$8))/$B$14),0)</f>
        <v>112.08590768770662</v>
      </c>
      <c r="H38" s="111">
        <f aca="true" t="shared" si="5" ref="H38:H99">IF($B$26="y",$C$26,(MAX(0,IF($B$23="y",(LOOKUP(MAX((G38-$C$23*$D$23),0)+$L$37/2,$L$36:$L$43,$K$36:$K$43)),(LOOKUP(G38+$L$37/2,$L$36:$L$43,$K$36:$K$43))))))</f>
        <v>7</v>
      </c>
      <c r="I38" s="111">
        <f t="shared" si="3"/>
        <v>100.68621235058032</v>
      </c>
      <c r="J38" s="111"/>
      <c r="K38" s="118">
        <v>2</v>
      </c>
      <c r="L38" s="118">
        <f>vs2</f>
        <v>28.763107784292856</v>
      </c>
      <c r="M38" s="118"/>
      <c r="N38" s="111"/>
      <c r="O38" s="111"/>
    </row>
    <row r="39" spans="1:15" ht="12.75">
      <c r="A39" s="111">
        <v>3</v>
      </c>
      <c r="B39" s="111">
        <v>0.28</v>
      </c>
      <c r="C39" s="111">
        <f>MAX(((((MIN((($F$8*EXP(((($C$8))/$C$17)*$G$8))*1000/1.12/$I$8),$B$20)*$I$8*$H$8)-(MIN((($F$8*EXP((((B39))/$C$17)*$G$8))*1000/1.12/$I$8),$B$20)*$I$8*$H$8))*IF(NVTable_Data_Entry!$D$68=1,0.313,IF(NVTable_Data_Entry!$D$68=2,0.263,0.403))))/0.6,0)</f>
        <v>34.677185732590814</v>
      </c>
      <c r="D39" s="111">
        <f t="shared" si="0"/>
        <v>0.0031111111111111114</v>
      </c>
      <c r="E39" s="111">
        <f t="shared" si="1"/>
        <v>18.34361124647885</v>
      </c>
      <c r="F39" s="111">
        <f t="shared" si="2"/>
        <v>64.69914713562132</v>
      </c>
      <c r="G39" s="111">
        <f t="shared" si="4"/>
        <v>110.78973077505053</v>
      </c>
      <c r="H39" s="111">
        <f t="shared" si="5"/>
        <v>7</v>
      </c>
      <c r="I39" s="111">
        <f t="shared" si="3"/>
        <v>100.68621235058032</v>
      </c>
      <c r="J39" s="111"/>
      <c r="K39" s="118">
        <v>3</v>
      </c>
      <c r="L39" s="118">
        <f>vs3</f>
        <v>43.3384771321253</v>
      </c>
      <c r="M39" s="118"/>
      <c r="N39" s="111"/>
      <c r="O39" s="111"/>
    </row>
    <row r="40" spans="1:15" ht="12.75">
      <c r="A40" s="111">
        <v>4</v>
      </c>
      <c r="B40" s="111">
        <v>0.29</v>
      </c>
      <c r="C40" s="111">
        <f>MAX(((((MIN((($F$8*EXP(((($C$8))/$C$17)*$G$8))*1000/1.12/$I$8),$B$20)*$I$8*$H$8)-(MIN((($F$8*EXP((((B40))/$C$17)*$G$8))*1000/1.12/$I$8),$B$20)*$I$8*$H$8))*IF(NVTable_Data_Entry!$D$68=1,0.313,IF(NVTable_Data_Entry!$D$68=2,0.263,0.403))))/0.6,0)</f>
        <v>34.25912220663675</v>
      </c>
      <c r="D40" s="111">
        <f t="shared" si="0"/>
        <v>0.003222222222222222</v>
      </c>
      <c r="E40" s="111">
        <f t="shared" si="1"/>
        <v>18.90246740426364</v>
      </c>
      <c r="F40" s="111">
        <f t="shared" si="2"/>
        <v>64.69914713562132</v>
      </c>
      <c r="G40" s="111">
        <f t="shared" si="4"/>
        <v>109.45406455794486</v>
      </c>
      <c r="H40" s="111">
        <f t="shared" si="5"/>
        <v>7</v>
      </c>
      <c r="I40" s="111">
        <f t="shared" si="3"/>
        <v>100.68621235058032</v>
      </c>
      <c r="J40" s="111"/>
      <c r="K40" s="118">
        <v>4</v>
      </c>
      <c r="L40" s="118">
        <f>vs4</f>
        <v>57.34773521845503</v>
      </c>
      <c r="M40" s="118"/>
      <c r="N40" s="111"/>
      <c r="O40" s="111"/>
    </row>
    <row r="41" spans="1:15" ht="12.75">
      <c r="A41" s="111">
        <v>5</v>
      </c>
      <c r="B41" s="111">
        <v>0.3</v>
      </c>
      <c r="C41" s="111">
        <f>MAX(((((MIN((($F$8*EXP(((($C$8))/$C$17)*$G$8))*1000/1.12/$I$8),$B$20)*$I$8*$H$8)-(MIN((($F$8*EXP((((B41))/$C$17)*$G$8))*1000/1.12/$I$8),$B$20)*$I$8*$H$8))*IF(NVTable_Data_Entry!$D$68=1,0.313,IF(NVTable_Data_Entry!$D$68=2,0.263,0.403))))/0.6,0)</f>
        <v>33.82832196419401</v>
      </c>
      <c r="D41" s="111">
        <f t="shared" si="0"/>
        <v>0.003333333333333333</v>
      </c>
      <c r="E41" s="111">
        <f t="shared" si="1"/>
        <v>19.478349664537056</v>
      </c>
      <c r="F41" s="111">
        <f t="shared" si="2"/>
        <v>64.69914713562132</v>
      </c>
      <c r="G41" s="111">
        <f t="shared" si="4"/>
        <v>108.0777059558914</v>
      </c>
      <c r="H41" s="111">
        <f t="shared" si="5"/>
        <v>7</v>
      </c>
      <c r="I41" s="111">
        <f t="shared" si="3"/>
        <v>100.68621235058032</v>
      </c>
      <c r="J41" s="111"/>
      <c r="K41" s="118">
        <v>5</v>
      </c>
      <c r="L41" s="118">
        <f>vs5</f>
        <v>71.9231045662875</v>
      </c>
      <c r="M41" s="118"/>
      <c r="N41" s="111"/>
      <c r="O41" s="111"/>
    </row>
    <row r="42" spans="1:15" ht="12.75">
      <c r="A42" s="111">
        <v>6</v>
      </c>
      <c r="B42" s="111">
        <v>0.31</v>
      </c>
      <c r="C42" s="111">
        <f>MAX(((((MIN((($F$8*EXP(((($C$8))/$C$17)*$G$8))*1000/1.12/$I$8),$B$20)*$I$8*$H$8)-(MIN((($F$8*EXP((((B42))/$C$17)*$G$8))*1000/1.12/$I$8),$B$20)*$I$8*$H$8))*IF(NVTable_Data_Entry!$D$68=1,0.313,IF(NVTable_Data_Entry!$D$68=2,0.263,0.403))))/0.6,0)</f>
        <v>33.38439696866807</v>
      </c>
      <c r="D42" s="111">
        <f t="shared" si="0"/>
        <v>0.0034444444444444444</v>
      </c>
      <c r="E42" s="111">
        <f t="shared" si="1"/>
        <v>20.071776744256784</v>
      </c>
      <c r="F42" s="111">
        <f t="shared" si="2"/>
        <v>64.69914713562132</v>
      </c>
      <c r="G42" s="111">
        <f t="shared" si="4"/>
        <v>106.65941523536125</v>
      </c>
      <c r="H42" s="111">
        <f t="shared" si="5"/>
        <v>7</v>
      </c>
      <c r="I42" s="111">
        <f t="shared" si="3"/>
        <v>100.68621235058032</v>
      </c>
      <c r="J42" s="111"/>
      <c r="K42" s="118">
        <v>6</v>
      </c>
      <c r="L42" s="118">
        <f>vs6</f>
        <v>86.11084300274787</v>
      </c>
      <c r="M42" s="118"/>
      <c r="N42" s="111"/>
      <c r="O42" s="111"/>
    </row>
    <row r="43" spans="1:15" ht="12.75">
      <c r="A43" s="111">
        <v>7</v>
      </c>
      <c r="B43" s="111">
        <v>0.32</v>
      </c>
      <c r="C43" s="111">
        <f>MAX(((((MIN((($F$8*EXP(((($C$8))/$C$17)*$G$8))*1000/1.12/$I$8),$B$20)*$I$8*$H$8)-(MIN((($F$8*EXP((((B43))/$C$17)*$G$8))*1000/1.12/$I$8),$B$20)*$I$8*$H$8))*IF(NVTable_Data_Entry!$D$68=1,0.313,IF(NVTable_Data_Entry!$D$68=2,0.263,0.403))))/0.6,0)</f>
        <v>32.92694736154791</v>
      </c>
      <c r="D43" s="111">
        <f t="shared" si="0"/>
        <v>0.0035555555555555557</v>
      </c>
      <c r="E43" s="111">
        <f t="shared" si="1"/>
        <v>20.683283163602788</v>
      </c>
      <c r="F43" s="111">
        <f t="shared" si="2"/>
        <v>64.69914713562132</v>
      </c>
      <c r="G43" s="111">
        <f t="shared" si="4"/>
        <v>105.1979148931243</v>
      </c>
      <c r="H43" s="111">
        <f t="shared" si="5"/>
        <v>7</v>
      </c>
      <c r="I43" s="111">
        <f t="shared" si="3"/>
        <v>100.68621235058032</v>
      </c>
      <c r="J43" s="111"/>
      <c r="K43" s="118">
        <v>7</v>
      </c>
      <c r="L43" s="118">
        <f>vs7</f>
        <v>100.68621235058032</v>
      </c>
      <c r="M43" s="118"/>
      <c r="N43" s="111"/>
      <c r="O43" s="111"/>
    </row>
    <row r="44" spans="1:15" ht="12.75">
      <c r="A44" s="111">
        <v>8</v>
      </c>
      <c r="B44" s="111">
        <v>0.33</v>
      </c>
      <c r="C44" s="111">
        <f>MAX(((((MIN((($F$8*EXP(((($C$8))/$C$17)*$G$8))*1000/1.12/$I$8),$B$20)*$I$8*$H$8)-(MIN((($F$8*EXP((((B44))/$C$17)*$G$8))*1000/1.12/$I$8),$B$20)*$I$8*$H$8))*IF(NVTable_Data_Entry!$D$68=1,0.313,IF(NVTable_Data_Entry!$D$68=2,0.263,0.403))))/0.6,0)</f>
        <v>32.45556110223967</v>
      </c>
      <c r="D44" s="111">
        <f t="shared" si="0"/>
        <v>0.003666666666666667</v>
      </c>
      <c r="E44" s="111">
        <f t="shared" si="1"/>
        <v>21.313419727438045</v>
      </c>
      <c r="F44" s="111">
        <f t="shared" si="2"/>
        <v>64.69914713562132</v>
      </c>
      <c r="G44" s="111">
        <f t="shared" si="4"/>
        <v>103.69188850555804</v>
      </c>
      <c r="H44" s="111">
        <f t="shared" si="5"/>
        <v>7</v>
      </c>
      <c r="I44" s="111">
        <f t="shared" si="3"/>
        <v>100.68621235058032</v>
      </c>
      <c r="J44" s="111"/>
      <c r="K44" s="111"/>
      <c r="L44" s="119"/>
      <c r="M44" s="111"/>
      <c r="N44" s="111"/>
      <c r="O44" s="111"/>
    </row>
    <row r="45" spans="1:15" ht="12.75">
      <c r="A45" s="111">
        <v>9</v>
      </c>
      <c r="B45" s="111">
        <v>0.34</v>
      </c>
      <c r="C45" s="111">
        <f>MAX(((((MIN((($F$8*EXP(((($C$8))/$C$17)*$G$8))*1000/1.12/$I$8),$B$20)*$I$8*$H$8)-(MIN((($F$8*EXP((((B45))/$C$17)*$G$8))*1000/1.12/$I$8),$B$20)*$I$8*$H$8))*IF(NVTable_Data_Entry!$D$68=1,0.313,IF(NVTable_Data_Entry!$D$68=2,0.263,0.403))))/0.6,0)</f>
        <v>31.969813596927583</v>
      </c>
      <c r="D45" s="111">
        <f t="shared" si="0"/>
        <v>0.003777777777777778</v>
      </c>
      <c r="E45" s="111">
        <f t="shared" si="1"/>
        <v>21.96275402143738</v>
      </c>
      <c r="F45" s="111">
        <f t="shared" si="2"/>
        <v>64.69914713562132</v>
      </c>
      <c r="G45" s="111">
        <f t="shared" si="4"/>
        <v>102.13997954289964</v>
      </c>
      <c r="H45" s="111">
        <f t="shared" si="5"/>
        <v>7</v>
      </c>
      <c r="I45" s="111">
        <f t="shared" si="3"/>
        <v>100.68621235058032</v>
      </c>
      <c r="J45" s="111"/>
      <c r="K45" s="111"/>
      <c r="L45" s="119"/>
      <c r="M45" s="111"/>
      <c r="N45" s="111"/>
      <c r="O45" s="111"/>
    </row>
    <row r="46" spans="1:15" ht="12.75">
      <c r="A46" s="111">
        <v>10</v>
      </c>
      <c r="B46" s="111">
        <v>0.35</v>
      </c>
      <c r="C46" s="111">
        <f>MAX(((((MIN((($F$8*EXP(((($C$8))/$C$17)*$G$8))*1000/1.12/$I$8),$B$20)*$I$8*$H$8)-(MIN((($F$8*EXP((((B46))/$C$17)*$G$8))*1000/1.12/$I$8),$B$20)*$I$8*$H$8))*IF(NVTable_Data_Entry!$D$68=1,0.313,IF(NVTable_Data_Entry!$D$68=2,0.263,0.403))))/0.6,0)</f>
        <v>31.46926731612769</v>
      </c>
      <c r="D46" s="111">
        <f t="shared" si="0"/>
        <v>0.0038888888888888888</v>
      </c>
      <c r="E46" s="111">
        <f t="shared" si="1"/>
        <v>22.631870923331448</v>
      </c>
      <c r="F46" s="111">
        <f t="shared" si="2"/>
        <v>64.69914713562132</v>
      </c>
      <c r="G46" s="111">
        <f t="shared" si="4"/>
        <v>100.54079014737282</v>
      </c>
      <c r="H46" s="111">
        <f t="shared" si="5"/>
        <v>7</v>
      </c>
      <c r="I46" s="111">
        <f t="shared" si="3"/>
        <v>100.68621235058032</v>
      </c>
      <c r="J46" s="111"/>
      <c r="K46" s="111"/>
      <c r="L46" s="119"/>
      <c r="M46" s="111"/>
      <c r="N46" s="111"/>
      <c r="O46" s="111"/>
    </row>
    <row r="47" spans="1:15" ht="12.75">
      <c r="A47" s="111">
        <v>11</v>
      </c>
      <c r="B47" s="111">
        <v>0.36</v>
      </c>
      <c r="C47" s="111">
        <f>MAX(((((MIN((($F$8*EXP(((($C$8))/$C$17)*$G$8))*1000/1.12/$I$8),$B$20)*$I$8*$H$8)-(MIN((($F$8*EXP((((B47))/$C$17)*$G$8))*1000/1.12/$I$8),$B$20)*$I$8*$H$8))*IF(NVTable_Data_Entry!$D$68=1,0.313,IF(NVTable_Data_Entry!$D$68=2,0.263,0.403))))/0.6,0)</f>
        <v>30.953471400589983</v>
      </c>
      <c r="D47" s="111">
        <f t="shared" si="0"/>
        <v>0.004</v>
      </c>
      <c r="E47" s="111">
        <f t="shared" si="1"/>
        <v>23.321373129726172</v>
      </c>
      <c r="F47" s="111">
        <f t="shared" si="2"/>
        <v>64.69914713562132</v>
      </c>
      <c r="G47" s="111">
        <f t="shared" si="4"/>
        <v>98.8928798740894</v>
      </c>
      <c r="H47" s="111">
        <f t="shared" si="5"/>
        <v>7</v>
      </c>
      <c r="I47" s="111">
        <f t="shared" si="3"/>
        <v>100.68621235058032</v>
      </c>
      <c r="J47" s="111"/>
      <c r="K47" s="111"/>
      <c r="L47" s="119"/>
      <c r="M47" s="111"/>
      <c r="N47" s="111"/>
      <c r="O47" s="111"/>
    </row>
    <row r="48" spans="1:15" ht="12.75">
      <c r="A48" s="111">
        <v>12</v>
      </c>
      <c r="B48" s="111">
        <v>0.37</v>
      </c>
      <c r="C48" s="111">
        <f>MAX(((((MIN((($F$8*EXP(((($C$8))/$C$17)*$G$8))*1000/1.12/$I$8),$B$20)*$I$8*$H$8)-(MIN((($F$8*EXP((((B48))/$C$17)*$G$8))*1000/1.12/$I$8),$B$20)*$I$8*$H$8))*IF(NVTable_Data_Entry!$D$68=1,0.313,IF(NVTable_Data_Entry!$D$68=2,0.263,0.403))))/0.6,0)</f>
        <v>30.421961255193978</v>
      </c>
      <c r="D48" s="111">
        <f t="shared" si="0"/>
        <v>0.004111111111111111</v>
      </c>
      <c r="E48" s="111">
        <f t="shared" si="1"/>
        <v>24.03188169897238</v>
      </c>
      <c r="F48" s="111">
        <f t="shared" si="2"/>
        <v>64.69914713562132</v>
      </c>
      <c r="G48" s="111">
        <f t="shared" si="4"/>
        <v>97.19476439359097</v>
      </c>
      <c r="H48" s="111">
        <f t="shared" si="5"/>
        <v>7</v>
      </c>
      <c r="I48" s="111">
        <f t="shared" si="3"/>
        <v>100.68621235058032</v>
      </c>
      <c r="J48" s="111"/>
      <c r="L48" s="119"/>
      <c r="M48" s="111"/>
      <c r="N48" s="111"/>
      <c r="O48" s="111"/>
    </row>
    <row r="49" spans="1:15" ht="12.75">
      <c r="A49" s="111">
        <v>13</v>
      </c>
      <c r="B49" s="111">
        <v>0.38</v>
      </c>
      <c r="C49" s="111">
        <f>MAX(((((MIN((($F$8*EXP(((($C$8))/$C$17)*$G$8))*1000/1.12/$I$8),$B$20)*$I$8*$H$8)-(MIN((($F$8*EXP((((B49))/$C$17)*$G$8))*1000/1.12/$I$8),$B$20)*$I$8*$H$8))*IF(NVTable_Data_Entry!$D$68=1,0.313,IF(NVTable_Data_Entry!$D$68=2,0.263,0.403))))/0.6,0)</f>
        <v>29.8742581304719</v>
      </c>
      <c r="D49" s="111">
        <f t="shared" si="0"/>
        <v>0.004222222222222223</v>
      </c>
      <c r="E49" s="111">
        <f t="shared" si="1"/>
        <v>24.764036610574337</v>
      </c>
      <c r="F49" s="111">
        <f t="shared" si="2"/>
        <v>64.69914713562132</v>
      </c>
      <c r="G49" s="111">
        <f t="shared" si="4"/>
        <v>95.4449141548623</v>
      </c>
      <c r="H49" s="111">
        <f t="shared" si="5"/>
        <v>7</v>
      </c>
      <c r="I49" s="111">
        <f t="shared" si="3"/>
        <v>100.68621235058032</v>
      </c>
      <c r="J49" s="111"/>
      <c r="K49" s="111"/>
      <c r="L49" s="111"/>
      <c r="M49" s="119"/>
      <c r="N49" s="111"/>
      <c r="O49" s="111"/>
    </row>
    <row r="50" spans="1:15" ht="12.75">
      <c r="A50" s="111">
        <v>14</v>
      </c>
      <c r="B50" s="111">
        <v>0.39</v>
      </c>
      <c r="C50" s="111">
        <f>MAX(((((MIN((($F$8*EXP(((($C$8))/$C$17)*$G$8))*1000/1.12/$I$8),$B$20)*$I$8*$H$8)-(MIN((($F$8*EXP((((B50))/$C$17)*$G$8))*1000/1.12/$I$8),$B$20)*$I$8*$H$8))*IF(NVTable_Data_Entry!$D$68=1,0.313,IF(NVTable_Data_Entry!$D$68=2,0.263,0.403))))/0.6,0)</f>
        <v>29.309868691382604</v>
      </c>
      <c r="D50" s="111">
        <f t="shared" si="0"/>
        <v>0.004333333333333333</v>
      </c>
      <c r="E50" s="111">
        <f t="shared" si="1"/>
        <v>25.518497341641346</v>
      </c>
      <c r="F50" s="111">
        <f t="shared" si="2"/>
        <v>64.69914713562132</v>
      </c>
      <c r="G50" s="111">
        <f t="shared" si="4"/>
        <v>93.64175300761215</v>
      </c>
      <c r="H50" s="111">
        <f t="shared" si="5"/>
        <v>7</v>
      </c>
      <c r="I50" s="111">
        <f t="shared" si="3"/>
        <v>100.68621235058032</v>
      </c>
      <c r="J50" s="111"/>
      <c r="K50" s="111" t="s">
        <v>10</v>
      </c>
      <c r="L50" s="111"/>
      <c r="M50" s="111"/>
      <c r="N50" s="111"/>
      <c r="O50" s="111"/>
    </row>
    <row r="51" spans="1:15" ht="12.75">
      <c r="A51" s="111">
        <v>15</v>
      </c>
      <c r="B51" s="111">
        <v>0.4</v>
      </c>
      <c r="C51" s="111">
        <f>MAX(((((MIN((($F$8*EXP(((($C$8))/$C$17)*$G$8))*1000/1.12/$I$8),$B$20)*$I$8*$H$8)-(MIN((($F$8*EXP((((B51))/$C$17)*$G$8))*1000/1.12/$I$8),$B$20)*$I$8*$H$8))*IF(NVTable_Data_Entry!$D$68=1,0.313,IF(NVTable_Data_Entry!$D$68=2,0.263,0.403))))/0.6,0)</f>
        <v>28.72828457294769</v>
      </c>
      <c r="D51" s="111">
        <f t="shared" si="0"/>
        <v>0.0044444444444444444</v>
      </c>
      <c r="E51" s="111">
        <f t="shared" si="1"/>
        <v>26.29594346090146</v>
      </c>
      <c r="F51" s="111">
        <f t="shared" si="2"/>
        <v>64.69914713562132</v>
      </c>
      <c r="G51" s="111">
        <f t="shared" si="4"/>
        <v>91.78365678258048</v>
      </c>
      <c r="H51" s="111">
        <f t="shared" si="5"/>
        <v>6</v>
      </c>
      <c r="I51" s="111">
        <f t="shared" si="3"/>
        <v>86.11084300274787</v>
      </c>
      <c r="J51" s="111"/>
      <c r="K51" s="111"/>
      <c r="L51" s="111"/>
      <c r="M51" s="111"/>
      <c r="N51" s="111"/>
      <c r="O51" s="111"/>
    </row>
    <row r="52" spans="1:15" ht="12.75">
      <c r="A52" s="111">
        <v>16</v>
      </c>
      <c r="B52" s="111">
        <v>0.41</v>
      </c>
      <c r="C52" s="111">
        <f>MAX(((((MIN((($F$8*EXP(((($C$8))/$C$17)*$G$8))*1000/1.12/$I$8),$B$20)*$I$8*$H$8)-(MIN((($F$8*EXP((((B52))/$C$17)*$G$8))*1000/1.12/$I$8),$B$20)*$I$8*$H$8))*IF(NVTable_Data_Entry!$D$68=1,0.313,IF(NVTable_Data_Entry!$D$68=2,0.263,0.403))))/0.6,0)</f>
        <v>28.128981922349734</v>
      </c>
      <c r="D52" s="111">
        <f t="shared" si="0"/>
        <v>0.004555555555555555</v>
      </c>
      <c r="E52" s="111">
        <f t="shared" si="1"/>
        <v>27.09707524081237</v>
      </c>
      <c r="F52" s="111">
        <f t="shared" si="2"/>
        <v>64.69914713562132</v>
      </c>
      <c r="G52" s="111">
        <f t="shared" si="4"/>
        <v>89.86895182859341</v>
      </c>
      <c r="H52" s="111">
        <f t="shared" si="5"/>
        <v>6</v>
      </c>
      <c r="I52" s="111">
        <f t="shared" si="3"/>
        <v>86.11084300274787</v>
      </c>
      <c r="J52" s="111"/>
      <c r="K52" s="111"/>
      <c r="L52" s="111"/>
      <c r="M52" s="111"/>
      <c r="N52" s="111"/>
      <c r="O52" s="111"/>
    </row>
    <row r="53" spans="1:15" ht="12.75">
      <c r="A53" s="111">
        <v>17</v>
      </c>
      <c r="B53" s="111">
        <v>0.42</v>
      </c>
      <c r="C53" s="111">
        <f>MAX(((((MIN((($F$8*EXP(((($C$8))/$C$17)*$G$8))*1000/1.12/$I$8),$B$20)*$I$8*$H$8)-(MIN((($F$8*EXP((((B53))/$C$17)*$G$8))*1000/1.12/$I$8),$B$20)*$I$8*$H$8))*IF(NVTable_Data_Entry!$D$68=1,0.313,IF(NVTable_Data_Entry!$D$68=2,0.263,0.403))))/0.6,0)</f>
        <v>27.51142092707999</v>
      </c>
      <c r="D53" s="111">
        <f t="shared" si="0"/>
        <v>0.004666666666666666</v>
      </c>
      <c r="E53" s="111">
        <f t="shared" si="1"/>
        <v>27.922614288320954</v>
      </c>
      <c r="F53" s="111">
        <f t="shared" si="2"/>
        <v>64.69914713562132</v>
      </c>
      <c r="G53" s="111">
        <f t="shared" si="4"/>
        <v>87.89591350504789</v>
      </c>
      <c r="H53" s="111">
        <f t="shared" si="5"/>
        <v>6</v>
      </c>
      <c r="I53" s="111">
        <f t="shared" si="3"/>
        <v>86.11084300274787</v>
      </c>
      <c r="J53" s="111"/>
      <c r="K53" s="111"/>
      <c r="L53" s="111"/>
      <c r="M53" s="111"/>
      <c r="N53" s="111"/>
      <c r="O53" s="111"/>
    </row>
    <row r="54" spans="1:15" ht="12.75">
      <c r="A54" s="111">
        <v>18</v>
      </c>
      <c r="B54" s="111">
        <v>0.43</v>
      </c>
      <c r="C54" s="111">
        <f>MAX(((((MIN((($F$8*EXP(((($C$8))/$C$17)*$G$8))*1000/1.12/$I$8),$B$20)*$I$8*$H$8)-(MIN((($F$8*EXP((((B54))/$C$17)*$G$8))*1000/1.12/$I$8),$B$20)*$I$8*$H$8))*IF(NVTable_Data_Entry!$D$68=1,0.313,IF(NVTable_Data_Entry!$D$68=2,0.263,0.403))))/0.6,0)</f>
        <v>26.875045328710737</v>
      </c>
      <c r="D54" s="111">
        <f t="shared" si="0"/>
        <v>0.0047777777777777775</v>
      </c>
      <c r="E54" s="111">
        <f t="shared" si="1"/>
        <v>28.773304194839397</v>
      </c>
      <c r="F54" s="111">
        <f t="shared" si="2"/>
        <v>64.69914713562132</v>
      </c>
      <c r="G54" s="111">
        <f t="shared" si="4"/>
        <v>85.86276462846881</v>
      </c>
      <c r="H54" s="111">
        <f t="shared" si="5"/>
        <v>6</v>
      </c>
      <c r="I54" s="111">
        <f t="shared" si="3"/>
        <v>86.11084300274787</v>
      </c>
      <c r="J54" s="111"/>
      <c r="K54" s="111"/>
      <c r="L54" s="111"/>
      <c r="M54" s="111"/>
      <c r="N54" s="111"/>
      <c r="O54" s="111"/>
    </row>
    <row r="55" spans="1:15" ht="12.75">
      <c r="A55" s="111">
        <v>19</v>
      </c>
      <c r="B55" s="111">
        <v>0.44</v>
      </c>
      <c r="C55" s="111">
        <f>MAX(((((MIN((($F$8*EXP(((($C$8))/$C$17)*$G$8))*1000/1.12/$I$8),$B$20)*$I$8*$H$8)-(MIN((($F$8*EXP((((B55))/$C$17)*$G$8))*1000/1.12/$I$8),$B$20)*$I$8*$H$8))*IF(NVTable_Data_Entry!$D$68=1,0.313,IF(NVTable_Data_Entry!$D$68=2,0.263,0.403))))/0.6,0)</f>
        <v>26.219281921854158</v>
      </c>
      <c r="D55" s="111">
        <f t="shared" si="0"/>
        <v>0.004888888888888889</v>
      </c>
      <c r="E55" s="111">
        <f t="shared" si="1"/>
        <v>29.649911206023614</v>
      </c>
      <c r="F55" s="111">
        <f t="shared" si="2"/>
        <v>64.69914713562132</v>
      </c>
      <c r="G55" s="111">
        <f t="shared" si="4"/>
        <v>83.76767387173852</v>
      </c>
      <c r="H55" s="111">
        <f t="shared" si="5"/>
        <v>6</v>
      </c>
      <c r="I55" s="111">
        <f t="shared" si="3"/>
        <v>86.11084300274787</v>
      </c>
      <c r="J55" s="111"/>
      <c r="K55" s="111"/>
      <c r="L55" s="111"/>
      <c r="M55" s="111"/>
      <c r="N55" s="111"/>
      <c r="O55" s="111"/>
    </row>
    <row r="56" spans="1:15" ht="12.75">
      <c r="A56" s="111">
        <v>20</v>
      </c>
      <c r="B56" s="111">
        <v>0.45</v>
      </c>
      <c r="C56" s="111">
        <f>MAX(((((MIN((($F$8*EXP(((($C$8))/$C$17)*$G$8))*1000/1.12/$I$8),$B$20)*$I$8*$H$8)-(MIN((($F$8*EXP((((B56))/$C$17)*$G$8))*1000/1.12/$I$8),$B$20)*$I$8*$H$8))*IF(NVTable_Data_Entry!$D$68=1,0.313,IF(NVTable_Data_Entry!$D$68=2,0.263,0.403))))/0.6,0)</f>
        <v>25.54354003785655</v>
      </c>
      <c r="D56" s="111">
        <f t="shared" si="0"/>
        <v>0.005</v>
      </c>
      <c r="E56" s="111">
        <f t="shared" si="1"/>
        <v>30.553224911957027</v>
      </c>
      <c r="F56" s="111">
        <f t="shared" si="2"/>
        <v>64.69914713562132</v>
      </c>
      <c r="G56" s="111">
        <f t="shared" si="4"/>
        <v>81.60875411455767</v>
      </c>
      <c r="H56" s="111">
        <f t="shared" si="5"/>
        <v>6</v>
      </c>
      <c r="I56" s="111">
        <f t="shared" si="3"/>
        <v>86.11084300274787</v>
      </c>
      <c r="J56" s="111"/>
      <c r="K56" s="111"/>
      <c r="L56" s="111"/>
      <c r="M56" s="111"/>
      <c r="N56" s="111"/>
      <c r="O56" s="111"/>
    </row>
    <row r="57" spans="1:15" ht="12.75">
      <c r="A57" s="111">
        <v>21</v>
      </c>
      <c r="B57" s="111">
        <v>0.46</v>
      </c>
      <c r="C57" s="111">
        <f>MAX(((((MIN((($F$8*EXP(((($C$8))/$C$17)*$G$8))*1000/1.12/$I$8),$B$20)*$I$8*$H$8)-(MIN((($F$8*EXP((((B57))/$C$17)*$G$8))*1000/1.12/$I$8),$B$20)*$I$8*$H$8))*IF(NVTable_Data_Entry!$D$68=1,0.313,IF(NVTable_Data_Entry!$D$68=2,0.263,0.403))))/0.6,0)</f>
        <v>24.84721101276274</v>
      </c>
      <c r="D57" s="111">
        <f t="shared" si="0"/>
        <v>0.005111111111111111</v>
      </c>
      <c r="E57" s="111">
        <f t="shared" si="1"/>
        <v>31.48405895836152</v>
      </c>
      <c r="F57" s="111">
        <f t="shared" si="2"/>
        <v>64.69914713562132</v>
      </c>
      <c r="G57" s="111">
        <f t="shared" si="4"/>
        <v>79.38406074365093</v>
      </c>
      <c r="H57" s="111">
        <f t="shared" si="5"/>
        <v>6</v>
      </c>
      <c r="I57" s="111">
        <f t="shared" si="3"/>
        <v>86.11084300274787</v>
      </c>
      <c r="J57" s="111"/>
      <c r="K57" s="111"/>
      <c r="L57" s="111"/>
      <c r="M57" s="111"/>
      <c r="N57" s="111"/>
      <c r="O57" s="111"/>
    </row>
    <row r="58" spans="1:15" ht="12.75">
      <c r="A58" s="111">
        <v>22</v>
      </c>
      <c r="B58" s="111">
        <v>0.47</v>
      </c>
      <c r="C58" s="111">
        <f>MAX(((((MIN((($F$8*EXP(((($C$8))/$C$17)*$G$8))*1000/1.12/$I$8),$B$20)*$I$8*$H$8)-(MIN((($F$8*EXP((((B58))/$C$17)*$G$8))*1000/1.12/$I$8),$B$20)*$I$8*$H$8))*IF(NVTable_Data_Entry!$D$68=1,0.313,IF(NVTable_Data_Entry!$D$68=2,0.263,0.403))))/0.6,0)</f>
        <v>24.129667639071535</v>
      </c>
      <c r="D58" s="111">
        <f t="shared" si="0"/>
        <v>0.005222222222222222</v>
      </c>
      <c r="E58" s="111">
        <f t="shared" si="1"/>
        <v>32.44325177947613</v>
      </c>
      <c r="F58" s="111">
        <f t="shared" si="2"/>
        <v>64.69914713562132</v>
      </c>
      <c r="G58" s="111">
        <f t="shared" si="4"/>
        <v>77.091589901187</v>
      </c>
      <c r="H58" s="111">
        <f t="shared" si="5"/>
        <v>5</v>
      </c>
      <c r="I58" s="111">
        <f t="shared" si="3"/>
        <v>71.9231045662875</v>
      </c>
      <c r="J58" s="111"/>
      <c r="K58" s="111"/>
      <c r="L58" s="111"/>
      <c r="M58" s="111"/>
      <c r="N58" s="111"/>
      <c r="O58" s="111"/>
    </row>
    <row r="59" spans="1:15" ht="12.75">
      <c r="A59" s="111">
        <v>23</v>
      </c>
      <c r="B59" s="111">
        <v>0.48</v>
      </c>
      <c r="C59" s="111">
        <f>MAX(((((MIN((($F$8*EXP(((($C$8))/$C$17)*$G$8))*1000/1.12/$I$8),$B$20)*$I$8*$H$8)-(MIN((($F$8*EXP((((B59))/$C$17)*$G$8))*1000/1.12/$I$8),$B$20)*$I$8*$H$8))*IF(NVTable_Data_Entry!$D$68=1,0.313,IF(NVTable_Data_Entry!$D$68=2,0.263,0.403))))/0.6,0)</f>
        <v>23.39026360078834</v>
      </c>
      <c r="D59" s="111">
        <f t="shared" si="0"/>
        <v>0.005333333333333333</v>
      </c>
      <c r="E59" s="111">
        <f t="shared" si="1"/>
        <v>33.431667353263606</v>
      </c>
      <c r="F59" s="111">
        <f t="shared" si="2"/>
        <v>64.69914713562132</v>
      </c>
      <c r="G59" s="111">
        <f t="shared" si="4"/>
        <v>74.72927667983495</v>
      </c>
      <c r="H59" s="111">
        <f t="shared" si="5"/>
        <v>5</v>
      </c>
      <c r="I59" s="111">
        <f t="shared" si="3"/>
        <v>71.9231045662875</v>
      </c>
      <c r="J59" s="111"/>
      <c r="K59" s="111"/>
      <c r="L59" s="111"/>
      <c r="M59" s="111"/>
      <c r="N59" s="111"/>
      <c r="O59" s="111"/>
    </row>
    <row r="60" spans="1:15" ht="12.75">
      <c r="A60" s="111">
        <v>24</v>
      </c>
      <c r="B60" s="111">
        <v>0.49</v>
      </c>
      <c r="C60" s="111">
        <f>MAX(((((MIN((($F$8*EXP(((($C$8))/$C$17)*$G$8))*1000/1.12/$I$8),$B$20)*$I$8*$H$8)-(MIN((($F$8*EXP((((B60))/$C$17)*$G$8))*1000/1.12/$I$8),$B$20)*$I$8*$H$8))*IF(NVTable_Data_Entry!$D$68=1,0.313,IF(NVTable_Data_Entry!$D$68=2,0.263,0.403))))/0.6,0)</f>
        <v>22.628332891266144</v>
      </c>
      <c r="D60" s="111">
        <f t="shared" si="0"/>
        <v>0.0054444444444444445</v>
      </c>
      <c r="E60" s="111">
        <f t="shared" si="1"/>
        <v>34.450195979625036</v>
      </c>
      <c r="F60" s="111">
        <f t="shared" si="2"/>
        <v>64.69914713562132</v>
      </c>
      <c r="G60" s="111">
        <f t="shared" si="4"/>
        <v>72.29499326283113</v>
      </c>
      <c r="H60" s="111">
        <f t="shared" si="5"/>
        <v>5</v>
      </c>
      <c r="I60" s="111">
        <f t="shared" si="3"/>
        <v>71.9231045662875</v>
      </c>
      <c r="J60" s="111"/>
      <c r="K60" s="111"/>
      <c r="L60" s="111"/>
      <c r="M60" s="111"/>
      <c r="N60" s="111"/>
      <c r="O60" s="111"/>
    </row>
    <row r="61" spans="1:15" ht="12.75">
      <c r="A61" s="111">
        <v>25</v>
      </c>
      <c r="B61" s="111">
        <v>0.5</v>
      </c>
      <c r="C61" s="111">
        <f>MAX(((((MIN((($F$8*EXP(((($C$8))/$C$17)*$G$8))*1000/1.12/$I$8),$B$20)*$I$8*$H$8)-(MIN((($F$8*EXP((((B61))/$C$17)*$G$8))*1000/1.12/$I$8),$B$20)*$I$8*$H$8))*IF(NVTable_Data_Entry!$D$68=1,0.313,IF(NVTable_Data_Entry!$D$68=2,0.263,0.403))))/0.6,0)</f>
        <v>21.843189213310403</v>
      </c>
      <c r="D61" s="111">
        <f t="shared" si="0"/>
        <v>0.005555555555555556</v>
      </c>
      <c r="E61" s="111">
        <f t="shared" si="1"/>
        <v>35.49975508232364</v>
      </c>
      <c r="F61" s="111">
        <f t="shared" si="2"/>
        <v>64.69914713562132</v>
      </c>
      <c r="G61" s="111">
        <f t="shared" si="4"/>
        <v>69.78654700738147</v>
      </c>
      <c r="H61" s="111">
        <f t="shared" si="5"/>
        <v>5</v>
      </c>
      <c r="I61" s="111">
        <f t="shared" si="3"/>
        <v>71.9231045662875</v>
      </c>
      <c r="J61" s="111"/>
      <c r="K61" s="111"/>
      <c r="L61" s="111"/>
      <c r="M61" s="111"/>
      <c r="N61" s="111"/>
      <c r="O61" s="111"/>
    </row>
    <row r="62" spans="1:15" ht="12.75">
      <c r="A62" s="111">
        <v>26</v>
      </c>
      <c r="B62" s="111">
        <v>0.51</v>
      </c>
      <c r="C62" s="111">
        <f>MAX(((((MIN((($F$8*EXP(((($C$8))/$C$17)*$G$8))*1000/1.12/$I$8),$B$20)*$I$8*$H$8)-(MIN((($F$8*EXP((((B62))/$C$17)*$G$8))*1000/1.12/$I$8),$B$20)*$I$8*$H$8))*IF(NVTable_Data_Entry!$D$68=1,0.313,IF(NVTable_Data_Entry!$D$68=2,0.263,0.403))))/0.6,0)</f>
        <v>21.034125361007547</v>
      </c>
      <c r="D62" s="111">
        <f t="shared" si="0"/>
        <v>0.005666666666666667</v>
      </c>
      <c r="E62" s="111">
        <f t="shared" si="1"/>
        <v>36.58129003533987</v>
      </c>
      <c r="F62" s="111">
        <f t="shared" si="2"/>
        <v>64.69914713562132</v>
      </c>
      <c r="G62" s="111">
        <f t="shared" si="4"/>
        <v>67.20167846967267</v>
      </c>
      <c r="H62" s="111">
        <f t="shared" si="5"/>
        <v>5</v>
      </c>
      <c r="I62" s="111">
        <f t="shared" si="3"/>
        <v>71.9231045662875</v>
      </c>
      <c r="J62" s="111"/>
      <c r="K62" s="111"/>
      <c r="L62" s="111"/>
      <c r="M62" s="111"/>
      <c r="N62" s="111"/>
      <c r="O62" s="111"/>
    </row>
    <row r="63" spans="1:15" ht="12.75">
      <c r="A63" s="111">
        <v>27</v>
      </c>
      <c r="B63" s="111">
        <v>0.52</v>
      </c>
      <c r="C63" s="111">
        <f>MAX(((((MIN((($F$8*EXP(((($C$8))/$C$17)*$G$8))*1000/1.12/$I$8),$B$20)*$I$8*$H$8)-(MIN((($F$8*EXP((((B63))/$C$17)*$G$8))*1000/1.12/$I$8),$B$20)*$I$8*$H$8))*IF(NVTable_Data_Entry!$D$68=1,0.313,IF(NVTable_Data_Entry!$D$68=2,0.263,0.403))))/0.6,0)</f>
        <v>20.20041258272032</v>
      </c>
      <c r="D63" s="111">
        <f t="shared" si="0"/>
        <v>0.005777777777777778</v>
      </c>
      <c r="E63" s="111">
        <f t="shared" si="1"/>
        <v>37.695775014402294</v>
      </c>
      <c r="F63" s="111">
        <f t="shared" si="2"/>
        <v>64.69914713562132</v>
      </c>
      <c r="G63" s="111">
        <f t="shared" si="4"/>
        <v>64.53805936971348</v>
      </c>
      <c r="H63" s="111">
        <f t="shared" si="5"/>
        <v>4</v>
      </c>
      <c r="I63" s="111">
        <f t="shared" si="3"/>
        <v>57.34773521845503</v>
      </c>
      <c r="J63" s="111"/>
      <c r="K63" s="111"/>
      <c r="L63" s="111"/>
      <c r="M63" s="111"/>
      <c r="N63" s="111"/>
      <c r="O63" s="111"/>
    </row>
    <row r="64" spans="1:15" ht="12.75">
      <c r="A64" s="111">
        <v>28</v>
      </c>
      <c r="B64" s="111">
        <v>0.53</v>
      </c>
      <c r="C64" s="111">
        <f>MAX(((((MIN((($F$8*EXP(((($C$8))/$C$17)*$G$8))*1000/1.12/$I$8),$B$20)*$I$8*$H$8)-(MIN((($F$8*EXP((((B64))/$C$17)*$G$8))*1000/1.12/$I$8),$B$20)*$I$8*$H$8))*IF(NVTable_Data_Entry!$D$68=1,0.313,IF(NVTable_Data_Entry!$D$68=2,0.263,0.403))))/0.6,0)</f>
        <v>19.341299924676104</v>
      </c>
      <c r="D64" s="111">
        <f t="shared" si="0"/>
        <v>0.005888888888888889</v>
      </c>
      <c r="E64" s="111">
        <f t="shared" si="1"/>
        <v>38.84421387446113</v>
      </c>
      <c r="F64" s="111">
        <f t="shared" si="2"/>
        <v>64.69914713562132</v>
      </c>
      <c r="G64" s="111">
        <f t="shared" si="4"/>
        <v>61.793290494172865</v>
      </c>
      <c r="H64" s="111">
        <f t="shared" si="5"/>
        <v>4</v>
      </c>
      <c r="I64" s="111">
        <f t="shared" si="3"/>
        <v>57.34773521845503</v>
      </c>
      <c r="J64" s="111"/>
      <c r="K64" s="111"/>
      <c r="L64" s="111"/>
      <c r="M64" s="111"/>
      <c r="N64" s="111"/>
      <c r="O64" s="111"/>
    </row>
    <row r="65" spans="1:15" ht="12.75">
      <c r="A65" s="111">
        <v>29</v>
      </c>
      <c r="B65" s="111">
        <v>0.54</v>
      </c>
      <c r="C65" s="111">
        <f>MAX(((((MIN((($F$8*EXP(((($C$8))/$C$17)*$G$8))*1000/1.12/$I$8),$B$20)*$I$8*$H$8)-(MIN((($F$8*EXP((((B65))/$C$17)*$G$8))*1000/1.12/$I$8),$B$20)*$I$8*$H$8))*IF(NVTable_Data_Entry!$D$68=1,0.313,IF(NVTable_Data_Entry!$D$68=2,0.263,0.403))))/0.6,0)</f>
        <v>18.456013554556993</v>
      </c>
      <c r="D65" s="111">
        <f t="shared" si="0"/>
        <v>0.006</v>
      </c>
      <c r="E65" s="111">
        <f t="shared" si="1"/>
        <v>40.02764105389502</v>
      </c>
      <c r="F65" s="111">
        <f t="shared" si="2"/>
        <v>64.69914713562132</v>
      </c>
      <c r="G65" s="111">
        <f t="shared" si="4"/>
        <v>58.96489953532586</v>
      </c>
      <c r="H65" s="111">
        <f t="shared" si="5"/>
        <v>4</v>
      </c>
      <c r="I65" s="111">
        <f t="shared" si="3"/>
        <v>57.34773521845503</v>
      </c>
      <c r="J65" s="111"/>
      <c r="K65" s="111"/>
      <c r="L65" s="111"/>
      <c r="M65" s="111"/>
      <c r="N65" s="111"/>
      <c r="O65" s="111"/>
    </row>
    <row r="66" spans="1:15" ht="12.75">
      <c r="A66" s="111">
        <v>30</v>
      </c>
      <c r="B66" s="111">
        <v>0.55</v>
      </c>
      <c r="C66" s="111">
        <f>MAX(((((MIN((($F$8*EXP(((($C$8))/$C$17)*$G$8))*1000/1.12/$I$8),$B$20)*$I$8*$H$8)-(MIN((($F$8*EXP((((B66))/$C$17)*$G$8))*1000/1.12/$I$8),$B$20)*$I$8*$H$8))*IF(NVTable_Data_Entry!$D$68=1,0.313,IF(NVTable_Data_Entry!$D$68=2,0.263,0.403))))/0.6,0)</f>
        <v>17.5437560644825</v>
      </c>
      <c r="D66" s="111">
        <f t="shared" si="0"/>
        <v>0.006111111111111111</v>
      </c>
      <c r="E66" s="111">
        <f t="shared" si="1"/>
        <v>41.247122506265114</v>
      </c>
      <c r="F66" s="111">
        <f t="shared" si="2"/>
        <v>64.69914713562132</v>
      </c>
      <c r="G66" s="111">
        <f t="shared" si="4"/>
        <v>56.05033886416134</v>
      </c>
      <c r="H66" s="111">
        <f t="shared" si="5"/>
        <v>4</v>
      </c>
      <c r="I66" s="111">
        <f t="shared" si="3"/>
        <v>57.34773521845503</v>
      </c>
      <c r="J66" s="111"/>
      <c r="K66" s="111"/>
      <c r="L66" s="111"/>
      <c r="M66" s="111"/>
      <c r="N66" s="111"/>
      <c r="O66" s="111"/>
    </row>
    <row r="67" spans="1:15" ht="12.75">
      <c r="A67" s="111">
        <v>31</v>
      </c>
      <c r="B67" s="111">
        <v>0.56</v>
      </c>
      <c r="C67" s="111">
        <f>MAX(((((MIN((($F$8*EXP(((($C$8))/$C$17)*$G$8))*1000/1.12/$I$8),$B$20)*$I$8*$H$8)-(MIN((($F$8*EXP((((B67))/$C$17)*$G$8))*1000/1.12/$I$8),$B$20)*$I$8*$H$8))*IF(NVTable_Data_Entry!$D$68=1,0.313,IF(NVTable_Data_Entry!$D$68=2,0.263,0.403))))/0.6,0)</f>
        <v>16.60370575275673</v>
      </c>
      <c r="D67" s="111">
        <f t="shared" si="0"/>
        <v>0.006222222222222223</v>
      </c>
      <c r="E67" s="111">
        <f t="shared" si="1"/>
        <v>42.503756660456254</v>
      </c>
      <c r="F67" s="111">
        <f t="shared" si="2"/>
        <v>64.69914713562132</v>
      </c>
      <c r="G67" s="111">
        <f t="shared" si="4"/>
        <v>53.04698323564451</v>
      </c>
      <c r="H67" s="111">
        <f t="shared" si="5"/>
        <v>4</v>
      </c>
      <c r="I67" s="111">
        <f t="shared" si="3"/>
        <v>57.34773521845503</v>
      </c>
      <c r="J67" s="111"/>
      <c r="K67" s="111"/>
      <c r="L67" s="111"/>
      <c r="M67" s="111"/>
      <c r="N67" s="111"/>
      <c r="O67" s="111"/>
    </row>
    <row r="68" spans="1:15" ht="12.75">
      <c r="A68" s="111">
        <v>32</v>
      </c>
      <c r="B68" s="111">
        <v>0.57</v>
      </c>
      <c r="C68" s="111">
        <f>MAX(((((MIN((($F$8*EXP(((($C$8))/$C$17)*$G$8))*1000/1.12/$I$8),$B$20)*$I$8*$H$8)-(MIN((($F$8*EXP((((B68))/$C$17)*$G$8))*1000/1.12/$I$8),$B$20)*$I$8*$H$8))*IF(NVTable_Data_Entry!$D$68=1,0.313,IF(NVTable_Data_Entry!$D$68=2,0.263,0.403))))/0.6,0)</f>
        <v>15.635015883733539</v>
      </c>
      <c r="D68" s="111">
        <f t="shared" si="0"/>
        <v>0.006333333333333333</v>
      </c>
      <c r="E68" s="111">
        <f t="shared" si="1"/>
        <v>43.79867541006952</v>
      </c>
      <c r="F68" s="111">
        <f t="shared" si="2"/>
        <v>64.69914713562132</v>
      </c>
      <c r="G68" s="111">
        <f t="shared" si="4"/>
        <v>49.95212742406881</v>
      </c>
      <c r="H68" s="111">
        <f t="shared" si="5"/>
        <v>3</v>
      </c>
      <c r="I68" s="111">
        <f t="shared" si="3"/>
        <v>43.3384771321253</v>
      </c>
      <c r="J68" s="111"/>
      <c r="K68" s="111"/>
      <c r="L68" s="111"/>
      <c r="M68" s="111"/>
      <c r="N68" s="111"/>
      <c r="O68" s="111"/>
    </row>
    <row r="69" spans="1:15" ht="12.75">
      <c r="A69" s="111">
        <v>33</v>
      </c>
      <c r="B69" s="111">
        <v>0.58</v>
      </c>
      <c r="C69" s="111">
        <f>MAX(((((MIN((($F$8*EXP(((($C$8))/$C$17)*$G$8))*1000/1.12/$I$8),$B$20)*$I$8*$H$8)-(MIN((($F$8*EXP((((B69))/$C$17)*$G$8))*1000/1.12/$I$8),$B$20)*$I$8*$H$8))*IF(NVTable_Data_Entry!$D$68=1,0.313,IF(NVTable_Data_Entry!$D$68=2,0.263,0.403))))/0.6,0)</f>
        <v>14.636813925132492</v>
      </c>
      <c r="D69" s="111">
        <f t="shared" si="0"/>
        <v>0.006444444444444444</v>
      </c>
      <c r="E69" s="111">
        <f t="shared" si="1"/>
        <v>45.13304513295782</v>
      </c>
      <c r="F69" s="111">
        <f t="shared" si="2"/>
        <v>64.69914713562132</v>
      </c>
      <c r="G69" s="111">
        <f t="shared" si="4"/>
        <v>46.76298378636579</v>
      </c>
      <c r="H69" s="111">
        <f t="shared" si="5"/>
        <v>3</v>
      </c>
      <c r="I69" s="111">
        <f t="shared" si="3"/>
        <v>43.3384771321253</v>
      </c>
      <c r="J69" s="111"/>
      <c r="K69" s="111"/>
      <c r="L69" s="111"/>
      <c r="M69" s="111"/>
      <c r="N69" s="111"/>
      <c r="O69" s="111"/>
    </row>
    <row r="70" spans="1:15" ht="12.75">
      <c r="A70" s="111">
        <v>34</v>
      </c>
      <c r="B70" s="111">
        <v>0.59</v>
      </c>
      <c r="C70" s="111">
        <f>MAX(((((MIN((($F$8*EXP(((($C$8))/$C$17)*$G$8))*1000/1.12/$I$8),$B$20)*$I$8*$H$8)-(MIN((($F$8*EXP((((B70))/$C$17)*$G$8))*1000/1.12/$I$8),$B$20)*$I$8*$H$8))*IF(NVTable_Data_Entry!$D$68=1,0.313,IF(NVTable_Data_Entry!$D$68=2,0.263,0.403))))/0.6,0)</f>
        <v>13.60820076211911</v>
      </c>
      <c r="D70" s="111">
        <f t="shared" si="0"/>
        <v>0.006555555555555555</v>
      </c>
      <c r="E70" s="111">
        <f t="shared" si="1"/>
        <v>46.50806774182247</v>
      </c>
      <c r="F70" s="111">
        <f t="shared" si="2"/>
        <v>64.69914713562132</v>
      </c>
      <c r="G70" s="111">
        <f t="shared" si="4"/>
        <v>43.47667975117927</v>
      </c>
      <c r="H70" s="111">
        <f t="shared" si="5"/>
        <v>3</v>
      </c>
      <c r="I70" s="111">
        <f t="shared" si="3"/>
        <v>43.3384771321253</v>
      </c>
      <c r="J70" s="111"/>
      <c r="K70" s="111"/>
      <c r="L70" s="111"/>
      <c r="M70" s="111"/>
      <c r="N70" s="111"/>
      <c r="O70" s="111"/>
    </row>
    <row r="71" spans="1:15" ht="12.75">
      <c r="A71" s="111">
        <v>35</v>
      </c>
      <c r="B71" s="111">
        <v>0.6</v>
      </c>
      <c r="C71" s="111">
        <f>MAX(((((MIN((($F$8*EXP(((($C$8))/$C$17)*$G$8))*1000/1.12/$I$8),$B$20)*$I$8*$H$8)-(MIN((($F$8*EXP((((B71))/$C$17)*$G$8))*1000/1.12/$I$8),$B$20)*$I$8*$H$8))*IF(NVTable_Data_Entry!$D$68=1,0.313,IF(NVTable_Data_Entry!$D$68=2,0.263,0.403))))/0.6,0)</f>
        <v>12.548249887441177</v>
      </c>
      <c r="D71" s="111">
        <f t="shared" si="0"/>
        <v>0.006666666666666666</v>
      </c>
      <c r="E71" s="111">
        <f t="shared" si="1"/>
        <v>47.92498176681736</v>
      </c>
      <c r="F71" s="111">
        <f t="shared" si="2"/>
        <v>64.69914713562132</v>
      </c>
      <c r="G71" s="111">
        <f t="shared" si="4"/>
        <v>40.09025523144146</v>
      </c>
      <c r="H71" s="111">
        <f t="shared" si="5"/>
        <v>3</v>
      </c>
      <c r="I71" s="111">
        <f t="shared" si="3"/>
        <v>43.3384771321253</v>
      </c>
      <c r="J71" s="111"/>
      <c r="K71" s="111"/>
      <c r="L71" s="111"/>
      <c r="M71" s="111"/>
      <c r="N71" s="111"/>
      <c r="O71" s="111"/>
    </row>
    <row r="72" spans="1:15" ht="12.75">
      <c r="A72" s="111">
        <v>36</v>
      </c>
      <c r="B72" s="111">
        <v>0.61</v>
      </c>
      <c r="C72" s="111">
        <f>MAX(((((MIN((($F$8*EXP(((($C$8))/$C$17)*$G$8))*1000/1.12/$I$8),$B$20)*$I$8*$H$8)-(MIN((($F$8*EXP((((B72))/$C$17)*$G$8))*1000/1.12/$I$8),$B$20)*$I$8*$H$8))*IF(NVTable_Data_Entry!$D$68=1,0.313,IF(NVTable_Data_Entry!$D$68=2,0.263,0.403))))/0.6,0)</f>
        <v>11.45600656689185</v>
      </c>
      <c r="D72" s="111">
        <f t="shared" si="0"/>
        <v>0.0067777777777777775</v>
      </c>
      <c r="E72" s="111">
        <f t="shared" si="1"/>
        <v>49.38506347113558</v>
      </c>
      <c r="F72" s="111">
        <f t="shared" si="2"/>
        <v>64.69914713562132</v>
      </c>
      <c r="G72" s="111">
        <f t="shared" si="4"/>
        <v>36.60065995812093</v>
      </c>
      <c r="H72" s="111">
        <f t="shared" si="5"/>
        <v>3</v>
      </c>
      <c r="I72" s="111">
        <f t="shared" si="3"/>
        <v>43.3384771321253</v>
      </c>
      <c r="J72" s="111"/>
      <c r="K72" s="111"/>
      <c r="L72" s="111"/>
      <c r="M72" s="111"/>
      <c r="N72" s="111"/>
      <c r="O72" s="111"/>
    </row>
    <row r="73" spans="1:15" ht="12.75">
      <c r="A73" s="111">
        <v>37</v>
      </c>
      <c r="B73" s="111">
        <v>0.62</v>
      </c>
      <c r="C73" s="111">
        <f>MAX(((((MIN((($F$8*EXP(((($C$8))/$C$17)*$G$8))*1000/1.12/$I$8),$B$20)*$I$8*$H$8)-(MIN((($F$8*EXP((((B73))/$C$17)*$G$8))*1000/1.12/$I$8),$B$20)*$I$8*$H$8))*IF(NVTable_Data_Entry!$D$68=1,0.313,IF(NVTable_Data_Entry!$D$68=2,0.263,0.403))))/0.6,0)</f>
        <v>10.330486979347622</v>
      </c>
      <c r="D73" s="111">
        <f t="shared" si="0"/>
        <v>0.006888888888888889</v>
      </c>
      <c r="E73" s="111">
        <f t="shared" si="1"/>
        <v>50.88962800058366</v>
      </c>
      <c r="F73" s="111">
        <f t="shared" si="2"/>
        <v>64.69914713562132</v>
      </c>
      <c r="G73" s="111">
        <f t="shared" si="4"/>
        <v>33.00475073274001</v>
      </c>
      <c r="H73" s="111">
        <f t="shared" si="5"/>
        <v>2</v>
      </c>
      <c r="I73" s="111">
        <f t="shared" si="3"/>
        <v>28.763107784292856</v>
      </c>
      <c r="J73" s="111"/>
      <c r="K73" s="111"/>
      <c r="L73" s="111"/>
      <c r="M73" s="111"/>
      <c r="N73" s="111"/>
      <c r="O73" s="111"/>
    </row>
    <row r="74" spans="1:15" ht="12.75">
      <c r="A74" s="111">
        <v>38</v>
      </c>
      <c r="B74" s="111">
        <v>0.63</v>
      </c>
      <c r="C74" s="111">
        <f>MAX(((((MIN((($F$8*EXP(((($C$8))/$C$17)*$G$8))*1000/1.12/$I$8),$B$20)*$I$8*$H$8)-(MIN((($F$8*EXP((((B74))/$C$17)*$G$8))*1000/1.12/$I$8),$B$20)*$I$8*$H$8))*IF(NVTable_Data_Entry!$D$68=1,0.313,IF(NVTable_Data_Entry!$D$68=2,0.263,0.403))))/0.6,0)</f>
        <v>9.170677330606889</v>
      </c>
      <c r="D74" s="111">
        <f t="shared" si="0"/>
        <v>0.007</v>
      </c>
      <c r="E74" s="111">
        <f t="shared" si="1"/>
        <v>52.440030568178585</v>
      </c>
      <c r="F74" s="111">
        <f t="shared" si="2"/>
        <v>64.69914713562132</v>
      </c>
      <c r="G74" s="111">
        <f t="shared" si="4"/>
        <v>29.299288596188145</v>
      </c>
      <c r="H74" s="111">
        <f t="shared" si="5"/>
        <v>2</v>
      </c>
      <c r="I74" s="111">
        <f t="shared" si="3"/>
        <v>28.763107784292856</v>
      </c>
      <c r="J74" s="111"/>
      <c r="K74" s="111"/>
      <c r="L74" s="111"/>
      <c r="M74" s="111"/>
      <c r="N74" s="111"/>
      <c r="O74" s="111"/>
    </row>
    <row r="75" spans="1:15" ht="12.75">
      <c r="A75" s="111">
        <v>39</v>
      </c>
      <c r="B75" s="111">
        <v>0.64</v>
      </c>
      <c r="C75" s="111">
        <f>MAX(((((MIN((($F$8*EXP(((($C$8))/$C$17)*$G$8))*1000/1.12/$I$8),$B$20)*$I$8*$H$8)-(MIN((($F$8*EXP((((B75))/$C$17)*$G$8))*1000/1.12/$I$8),$B$20)*$I$8*$H$8))*IF(NVTable_Data_Entry!$D$68=1,0.313,IF(NVTable_Data_Entry!$D$68=2,0.263,0.403))))/0.6,0)</f>
        <v>7.97553294023066</v>
      </c>
      <c r="D75" s="111">
        <f t="shared" si="0"/>
        <v>0.0071111111111111115</v>
      </c>
      <c r="E75" s="111">
        <f t="shared" si="1"/>
        <v>54.03766767483469</v>
      </c>
      <c r="F75" s="111">
        <f t="shared" si="2"/>
        <v>64.69914713562132</v>
      </c>
      <c r="G75" s="111">
        <f t="shared" si="4"/>
        <v>25.480935911280064</v>
      </c>
      <c r="H75" s="111">
        <f t="shared" si="5"/>
        <v>2</v>
      </c>
      <c r="I75" s="111">
        <f t="shared" si="3"/>
        <v>28.763107784292856</v>
      </c>
      <c r="J75" s="111"/>
      <c r="K75" s="111"/>
      <c r="L75" s="111"/>
      <c r="M75" s="111"/>
      <c r="N75" s="111"/>
      <c r="O75" s="111"/>
    </row>
    <row r="76" spans="1:15" ht="12.75">
      <c r="A76" s="111">
        <v>40</v>
      </c>
      <c r="B76" s="111">
        <v>0.65</v>
      </c>
      <c r="C76" s="111">
        <f>MAX(((((MIN((($F$8*EXP(((($C$8))/$C$17)*$G$8))*1000/1.12/$I$8),$B$20)*$I$8*$H$8)-(MIN((($F$8*EXP((((B76))/$C$17)*$G$8))*1000/1.12/$I$8),$B$20)*$I$8*$H$8))*IF(NVTable_Data_Entry!$D$68=1,0.313,IF(NVTable_Data_Entry!$D$68=2,0.263,0.403))))/0.6,0)</f>
        <v>6.743977300562797</v>
      </c>
      <c r="D76" s="111">
        <f t="shared" si="0"/>
        <v>0.007222222222222223</v>
      </c>
      <c r="E76" s="111">
        <f t="shared" si="1"/>
        <v>55.6839783672403</v>
      </c>
      <c r="F76" s="111">
        <f t="shared" si="2"/>
        <v>64.69914713562132</v>
      </c>
      <c r="G76" s="111">
        <f t="shared" si="4"/>
        <v>21.54625335643066</v>
      </c>
      <c r="H76" s="111">
        <f t="shared" si="5"/>
        <v>2</v>
      </c>
      <c r="I76" s="111">
        <f t="shared" si="3"/>
        <v>28.763107784292856</v>
      </c>
      <c r="J76" s="111"/>
      <c r="K76" s="111"/>
      <c r="L76" s="111"/>
      <c r="M76" s="111"/>
      <c r="N76" s="111"/>
      <c r="O76" s="111"/>
    </row>
    <row r="77" spans="1:15" ht="12.75">
      <c r="A77" s="111">
        <v>41</v>
      </c>
      <c r="B77" s="111">
        <v>0.66</v>
      </c>
      <c r="C77" s="111">
        <f>MAX(((((MIN((($F$8*EXP(((($C$8))/$C$17)*$G$8))*1000/1.12/$I$8),$B$20)*$I$8*$H$8)-(MIN((($F$8*EXP((((B77))/$C$17)*$G$8))*1000/1.12/$I$8),$B$20)*$I$8*$H$8))*IF(NVTable_Data_Entry!$D$68=1,0.313,IF(NVTable_Data_Entry!$D$68=2,0.263,0.403))))/0.6,0)</f>
        <v>5.474901107082769</v>
      </c>
      <c r="D77" s="111">
        <f t="shared" si="0"/>
        <v>0.007333333333333334</v>
      </c>
      <c r="E77" s="111">
        <f t="shared" si="1"/>
        <v>57.38044553405627</v>
      </c>
      <c r="F77" s="111">
        <f t="shared" si="2"/>
        <v>64.69914713562132</v>
      </c>
      <c r="G77" s="111">
        <f t="shared" si="4"/>
        <v>17.49169682774048</v>
      </c>
      <c r="H77" s="111">
        <f t="shared" si="5"/>
        <v>1</v>
      </c>
      <c r="I77" s="111">
        <f t="shared" si="3"/>
        <v>14.575369347832464</v>
      </c>
      <c r="J77" s="111"/>
      <c r="K77" s="111"/>
      <c r="L77" s="111"/>
      <c r="M77" s="111"/>
      <c r="N77" s="111"/>
      <c r="O77" s="111"/>
    </row>
    <row r="78" spans="1:15" ht="12.75">
      <c r="A78" s="111">
        <v>42</v>
      </c>
      <c r="B78" s="111">
        <v>0.67</v>
      </c>
      <c r="C78" s="111">
        <f>MAX(((((MIN((($F$8*EXP(((($C$8))/$C$17)*$G$8))*1000/1.12/$I$8),$B$20)*$I$8*$H$8)-(MIN((($F$8*EXP((((B78))/$C$17)*$G$8))*1000/1.12/$I$8),$B$20)*$I$8*$H$8))*IF(NVTable_Data_Entry!$D$68=1,0.313,IF(NVTable_Data_Entry!$D$68=2,0.263,0.403))))/0.6,0)</f>
        <v>4.167161259216796</v>
      </c>
      <c r="D78" s="111">
        <f t="shared" si="0"/>
        <v>0.0074444444444444445</v>
      </c>
      <c r="E78" s="111">
        <f t="shared" si="1"/>
        <v>59.12859724160499</v>
      </c>
      <c r="F78" s="111">
        <f t="shared" si="2"/>
        <v>64.69914713562132</v>
      </c>
      <c r="G78" s="111">
        <f t="shared" si="4"/>
        <v>13.313614246699029</v>
      </c>
      <c r="H78" s="111">
        <f t="shared" si="5"/>
        <v>1</v>
      </c>
      <c r="I78" s="111">
        <f t="shared" si="3"/>
        <v>14.575369347832464</v>
      </c>
      <c r="J78" s="111"/>
      <c r="K78" s="111"/>
      <c r="L78" s="111"/>
      <c r="M78" s="111"/>
      <c r="N78" s="111"/>
      <c r="O78" s="111"/>
    </row>
    <row r="79" spans="1:15" ht="12.75">
      <c r="A79" s="111">
        <v>43</v>
      </c>
      <c r="B79" s="111">
        <v>0.68</v>
      </c>
      <c r="C79" s="111">
        <f>MAX(((((MIN((($F$8*EXP(((($C$8))/$C$17)*$G$8))*1000/1.12/$I$8),$B$20)*$I$8*$H$8)-(MIN((($F$8*EXP((((B79))/$C$17)*$G$8))*1000/1.12/$I$8),$B$20)*$I$8*$H$8))*IF(NVTable_Data_Entry!$D$68=1,0.313,IF(NVTable_Data_Entry!$D$68=2,0.263,0.403))))/0.6,0)</f>
        <v>2.8195798307078133</v>
      </c>
      <c r="D79" s="111">
        <f t="shared" si="0"/>
        <v>0.007555555555555556</v>
      </c>
      <c r="E79" s="111">
        <f t="shared" si="1"/>
        <v>60.93000811025229</v>
      </c>
      <c r="F79" s="111">
        <f t="shared" si="2"/>
        <v>64.69914713562132</v>
      </c>
      <c r="G79" s="111">
        <f t="shared" si="4"/>
        <v>9.008242270631992</v>
      </c>
      <c r="H79" s="111">
        <f t="shared" si="5"/>
        <v>1</v>
      </c>
      <c r="I79" s="111">
        <f t="shared" si="3"/>
        <v>14.575369347832464</v>
      </c>
      <c r="J79" s="111"/>
      <c r="K79" s="111"/>
      <c r="L79" s="111"/>
      <c r="M79" s="111"/>
      <c r="N79" s="111"/>
      <c r="O79" s="111"/>
    </row>
    <row r="80" spans="1:15" ht="12.75">
      <c r="A80" s="111">
        <v>44</v>
      </c>
      <c r="B80" s="111">
        <v>0.69</v>
      </c>
      <c r="C80" s="111">
        <f>MAX(((((MIN((($F$8*EXP(((($C$8))/$C$17)*$G$8))*1000/1.12/$I$8),$B$20)*$I$8*$H$8)-(MIN((($F$8*EXP((((B80))/$C$17)*$G$8))*1000/1.12/$I$8),$B$20)*$I$8*$H$8))*IF(NVTable_Data_Entry!$D$68=1,0.313,IF(NVTable_Data_Entry!$D$68=2,0.263,0.403))))/0.6,0)</f>
        <v>1.4309430086168824</v>
      </c>
      <c r="D80" s="111">
        <f t="shared" si="0"/>
        <v>0.007666666666666666</v>
      </c>
      <c r="E80" s="111">
        <f t="shared" si="1"/>
        <v>62.78630073272202</v>
      </c>
      <c r="F80" s="111">
        <f t="shared" si="2"/>
        <v>64.69914713562132</v>
      </c>
      <c r="G80" s="111">
        <f t="shared" si="4"/>
        <v>4.571702902929337</v>
      </c>
      <c r="H80" s="111">
        <f t="shared" si="5"/>
        <v>0</v>
      </c>
      <c r="I80" s="111">
        <f t="shared" si="3"/>
        <v>0</v>
      </c>
      <c r="J80" s="111"/>
      <c r="K80" s="111"/>
      <c r="L80" s="111"/>
      <c r="M80" s="111"/>
      <c r="N80" s="111"/>
      <c r="O80" s="111"/>
    </row>
    <row r="81" spans="1:15" ht="12.75">
      <c r="A81" s="111">
        <v>45</v>
      </c>
      <c r="B81" s="111">
        <v>0.7</v>
      </c>
      <c r="C81" s="111">
        <f>MAX(((((MIN((($F$8*EXP(((($C$8))/$C$17)*$G$8))*1000/1.12/$I$8),$B$20)*$I$8*$H$8)-(MIN((($F$8*EXP((((B81))/$C$17)*$G$8))*1000/1.12/$I$8),$B$20)*$I$8*$H$8))*IF(NVTable_Data_Entry!$D$68=1,0.313,IF(NVTable_Data_Entry!$D$68=2,0.263,0.403))))/0.6,0)</f>
        <v>0</v>
      </c>
      <c r="D81" s="111">
        <f t="shared" si="0"/>
        <v>0.0077777777777777776</v>
      </c>
      <c r="E81" s="111">
        <f t="shared" si="1"/>
        <v>64.69914713562132</v>
      </c>
      <c r="F81" s="111">
        <f t="shared" si="2"/>
        <v>64.69914713562132</v>
      </c>
      <c r="G81" s="111">
        <f t="shared" si="4"/>
        <v>0</v>
      </c>
      <c r="H81" s="111">
        <f t="shared" si="5"/>
        <v>0</v>
      </c>
      <c r="I81" s="111">
        <f t="shared" si="3"/>
        <v>0</v>
      </c>
      <c r="J81" s="111"/>
      <c r="K81" s="111"/>
      <c r="L81" s="111"/>
      <c r="M81" s="111"/>
      <c r="N81" s="111"/>
      <c r="O81" s="111"/>
    </row>
    <row r="82" spans="1:15" ht="12.75">
      <c r="A82" s="111">
        <v>46</v>
      </c>
      <c r="B82" s="111">
        <v>0.71</v>
      </c>
      <c r="C82" s="111">
        <f>MAX(((((MIN((($F$8*EXP(((($C$8))/$C$17)*$G$8))*1000/1.12/$I$8),$B$20)*$I$8*$H$8)-(MIN((($F$8*EXP((((B82))/$C$17)*$G$8))*1000/1.12/$I$8),$B$20)*$I$8*$H$8))*IF(NVTable_Data_Entry!$D$68=1,0.313,IF(NVTable_Data_Entry!$D$68=2,0.263,0.403))))/0.6,0)</f>
        <v>0</v>
      </c>
      <c r="D82" s="111">
        <f t="shared" si="0"/>
        <v>0.007888888888888888</v>
      </c>
      <c r="E82" s="111">
        <f t="shared" si="1"/>
        <v>66.67027028549214</v>
      </c>
      <c r="F82" s="111">
        <f t="shared" si="2"/>
        <v>64.69914713562132</v>
      </c>
      <c r="G82" s="111">
        <f t="shared" si="4"/>
        <v>0</v>
      </c>
      <c r="H82" s="111">
        <f t="shared" si="5"/>
        <v>0</v>
      </c>
      <c r="I82" s="111">
        <f t="shared" si="3"/>
        <v>0</v>
      </c>
      <c r="J82" s="111"/>
      <c r="K82" s="111"/>
      <c r="L82" s="111"/>
      <c r="M82" s="111"/>
      <c r="N82" s="111"/>
      <c r="O82" s="111"/>
    </row>
    <row r="83" spans="1:15" ht="12.75">
      <c r="A83" s="111">
        <v>47</v>
      </c>
      <c r="B83" s="111">
        <v>0.72</v>
      </c>
      <c r="C83" s="111">
        <f>MAX(((((MIN((($F$8*EXP(((($C$8))/$C$17)*$G$8))*1000/1.12/$I$8),$B$20)*$I$8*$H$8)-(MIN((($F$8*EXP((((B83))/$C$17)*$G$8))*1000/1.12/$I$8),$B$20)*$I$8*$H$8))*IF(NVTable_Data_Entry!$D$68=1,0.313,IF(NVTable_Data_Entry!$D$68=2,0.263,0.403))))/0.6,0)</f>
        <v>0</v>
      </c>
      <c r="D83" s="111">
        <f t="shared" si="0"/>
        <v>0.008</v>
      </c>
      <c r="E83" s="111">
        <f t="shared" si="1"/>
        <v>68.70144564074704</v>
      </c>
      <c r="F83" s="111">
        <f t="shared" si="2"/>
        <v>64.69914713562132</v>
      </c>
      <c r="G83" s="111">
        <f t="shared" si="4"/>
        <v>0</v>
      </c>
      <c r="H83" s="111">
        <f t="shared" si="5"/>
        <v>0</v>
      </c>
      <c r="I83" s="111">
        <f t="shared" si="3"/>
        <v>0</v>
      </c>
      <c r="J83" s="111"/>
      <c r="K83" s="111"/>
      <c r="L83" s="111"/>
      <c r="M83" s="111"/>
      <c r="N83" s="111"/>
      <c r="O83" s="111"/>
    </row>
    <row r="84" spans="1:15" ht="12.75">
      <c r="A84" s="111">
        <v>48</v>
      </c>
      <c r="B84" s="111">
        <v>0.73</v>
      </c>
      <c r="C84" s="111">
        <f>MAX(((((MIN((($F$8*EXP(((($C$8))/$C$17)*$G$8))*1000/1.12/$I$8),$B$20)*$I$8*$H$8)-(MIN((($F$8*EXP((((B84))/$C$17)*$G$8))*1000/1.12/$I$8),$B$20)*$I$8*$H$8))*IF(NVTable_Data_Entry!$D$68=1,0.313,IF(NVTable_Data_Entry!$D$68=2,0.263,0.403))))/0.6,0)</f>
        <v>0</v>
      </c>
      <c r="D84" s="111">
        <f t="shared" si="0"/>
        <v>0.00811111111111111</v>
      </c>
      <c r="E84" s="111">
        <f t="shared" si="1"/>
        <v>70.79450275088496</v>
      </c>
      <c r="F84" s="111">
        <f t="shared" si="2"/>
        <v>64.69914713562132</v>
      </c>
      <c r="G84" s="111">
        <f t="shared" si="4"/>
        <v>0</v>
      </c>
      <c r="H84" s="111">
        <f t="shared" si="5"/>
        <v>0</v>
      </c>
      <c r="I84" s="111">
        <f t="shared" si="3"/>
        <v>0</v>
      </c>
      <c r="J84" s="111"/>
      <c r="K84" s="111"/>
      <c r="L84" s="111"/>
      <c r="M84" s="111"/>
      <c r="N84" s="111"/>
      <c r="O84" s="111"/>
    </row>
    <row r="85" spans="1:15" ht="12.75">
      <c r="A85" s="111">
        <v>49</v>
      </c>
      <c r="B85" s="111">
        <v>0.74</v>
      </c>
      <c r="C85" s="111">
        <f>MAX(((((MIN((($F$8*EXP(((($C$8))/$C$17)*$G$8))*1000/1.12/$I$8),$B$20)*$I$8*$H$8)-(MIN((($F$8*EXP((((B85))/$C$17)*$G$8))*1000/1.12/$I$8),$B$20)*$I$8*$H$8))*IF(NVTable_Data_Entry!$D$68=1,0.313,IF(NVTable_Data_Entry!$D$68=2,0.263,0.403))))/0.6,0)</f>
        <v>0</v>
      </c>
      <c r="D85" s="111">
        <f t="shared" si="0"/>
        <v>0.008222222222222223</v>
      </c>
      <c r="E85" s="111">
        <f t="shared" si="1"/>
        <v>72.95132690442992</v>
      </c>
      <c r="F85" s="111">
        <f t="shared" si="2"/>
        <v>64.69914713562132</v>
      </c>
      <c r="G85" s="111">
        <f t="shared" si="4"/>
        <v>0</v>
      </c>
      <c r="H85" s="111">
        <f t="shared" si="5"/>
        <v>0</v>
      </c>
      <c r="I85" s="111">
        <f t="shared" si="3"/>
        <v>0</v>
      </c>
      <c r="J85" s="111"/>
      <c r="K85" s="111"/>
      <c r="L85" s="111"/>
      <c r="M85" s="111"/>
      <c r="N85" s="111"/>
      <c r="O85" s="111"/>
    </row>
    <row r="86" spans="1:15" ht="12.75">
      <c r="A86" s="111">
        <v>50</v>
      </c>
      <c r="B86" s="111">
        <v>0.75</v>
      </c>
      <c r="C86" s="111">
        <f>MAX(((((MIN((($F$8*EXP(((($C$8))/$C$17)*$G$8))*1000/1.12/$I$8),$B$20)*$I$8*$H$8)-(MIN((($F$8*EXP((((B86))/$C$17)*$G$8))*1000/1.12/$I$8),$B$20)*$I$8*$H$8))*IF(NVTable_Data_Entry!$D$68=1,0.313,IF(NVTable_Data_Entry!$D$68=2,0.263,0.403))))/0.6,0)</f>
        <v>0</v>
      </c>
      <c r="D86" s="111">
        <f t="shared" si="0"/>
        <v>0.008333333333333333</v>
      </c>
      <c r="E86" s="111">
        <f t="shared" si="1"/>
        <v>75.17386082707496</v>
      </c>
      <c r="F86" s="111">
        <f t="shared" si="2"/>
        <v>64.69914713562132</v>
      </c>
      <c r="G86" s="111">
        <f t="shared" si="4"/>
        <v>0</v>
      </c>
      <c r="H86" s="111">
        <f t="shared" si="5"/>
        <v>0</v>
      </c>
      <c r="I86" s="111">
        <f t="shared" si="3"/>
        <v>0</v>
      </c>
      <c r="J86" s="111"/>
      <c r="K86" s="111"/>
      <c r="L86" s="111"/>
      <c r="M86" s="111"/>
      <c r="N86" s="111"/>
      <c r="O86" s="111"/>
    </row>
    <row r="87" spans="1:15" ht="12.75">
      <c r="A87" s="111">
        <v>51</v>
      </c>
      <c r="B87" s="111">
        <v>0.76</v>
      </c>
      <c r="C87" s="111">
        <f>MAX(((((MIN((($F$8*EXP(((($C$8))/$C$17)*$G$8))*1000/1.12/$I$8),$B$20)*$I$8*$H$8)-(MIN((($F$8*EXP((((B87))/$C$17)*$G$8))*1000/1.12/$I$8),$B$20)*$I$8*$H$8))*IF(NVTable_Data_Entry!$D$68=1,0.313,IF(NVTable_Data_Entry!$D$68=2,0.263,0.403))))/0.6,0)</f>
        <v>0</v>
      </c>
      <c r="D87" s="111">
        <f t="shared" si="0"/>
        <v>0.008444444444444445</v>
      </c>
      <c r="E87" s="111">
        <f t="shared" si="1"/>
        <v>77.46410643156203</v>
      </c>
      <c r="F87" s="111">
        <f t="shared" si="2"/>
        <v>64.69914713562132</v>
      </c>
      <c r="G87" s="111">
        <f t="shared" si="4"/>
        <v>0</v>
      </c>
      <c r="H87" s="111">
        <f t="shared" si="5"/>
        <v>0</v>
      </c>
      <c r="I87" s="111">
        <f t="shared" si="3"/>
        <v>0</v>
      </c>
      <c r="J87" s="111"/>
      <c r="K87" s="111"/>
      <c r="L87" s="111"/>
      <c r="M87" s="111"/>
      <c r="N87" s="111"/>
      <c r="O87" s="111"/>
    </row>
    <row r="88" spans="1:15" ht="12.75">
      <c r="A88" s="111">
        <v>52</v>
      </c>
      <c r="B88" s="111">
        <v>0.77</v>
      </c>
      <c r="C88" s="111">
        <f>MAX(((((MIN((($F$8*EXP(((($C$8))/$C$17)*$G$8))*1000/1.12/$I$8),$B$20)*$I$8*$H$8)-(MIN((($F$8*EXP((((B88))/$C$17)*$G$8))*1000/1.12/$I$8),$B$20)*$I$8*$H$8))*IF(NVTable_Data_Entry!$D$68=1,0.313,IF(NVTable_Data_Entry!$D$68=2,0.263,0.403))))/0.6,0)</f>
        <v>0</v>
      </c>
      <c r="D88" s="111">
        <f t="shared" si="0"/>
        <v>0.008555555555555556</v>
      </c>
      <c r="E88" s="111">
        <f t="shared" si="1"/>
        <v>79.82412662087373</v>
      </c>
      <c r="F88" s="111">
        <f t="shared" si="2"/>
        <v>64.69914713562132</v>
      </c>
      <c r="G88" s="111">
        <f t="shared" si="4"/>
        <v>0</v>
      </c>
      <c r="H88" s="111">
        <f t="shared" si="5"/>
        <v>0</v>
      </c>
      <c r="I88" s="111">
        <f t="shared" si="3"/>
        <v>0</v>
      </c>
      <c r="J88" s="111"/>
      <c r="K88" s="111"/>
      <c r="L88" s="111"/>
      <c r="M88" s="111"/>
      <c r="N88" s="111"/>
      <c r="O88" s="111"/>
    </row>
    <row r="89" spans="1:15" ht="12.75">
      <c r="A89" s="111">
        <v>53</v>
      </c>
      <c r="B89" s="111">
        <v>0.78</v>
      </c>
      <c r="C89" s="111">
        <f>MAX(((((MIN((($F$8*EXP(((($C$8))/$C$17)*$G$8))*1000/1.12/$I$8),$B$20)*$I$8*$H$8)-(MIN((($F$8*EXP((((B89))/$C$17)*$G$8))*1000/1.12/$I$8),$B$20)*$I$8*$H$8))*IF(NVTable_Data_Entry!$D$68=1,0.313,IF(NVTable_Data_Entry!$D$68=2,0.263,0.403))))/0.6,0)</f>
        <v>0</v>
      </c>
      <c r="D89" s="111">
        <f t="shared" si="0"/>
        <v>0.008666666666666666</v>
      </c>
      <c r="E89" s="111">
        <f t="shared" si="1"/>
        <v>82.25604714636081</v>
      </c>
      <c r="F89" s="111">
        <f t="shared" si="2"/>
        <v>64.69914713562132</v>
      </c>
      <c r="G89" s="111">
        <f t="shared" si="4"/>
        <v>0</v>
      </c>
      <c r="H89" s="111">
        <f t="shared" si="5"/>
        <v>0</v>
      </c>
      <c r="I89" s="111">
        <f t="shared" si="3"/>
        <v>0</v>
      </c>
      <c r="J89" s="111"/>
      <c r="K89" s="111"/>
      <c r="L89" s="111"/>
      <c r="M89" s="111"/>
      <c r="N89" s="111"/>
      <c r="O89" s="111"/>
    </row>
    <row r="90" spans="1:15" ht="12.75">
      <c r="A90" s="111">
        <v>54</v>
      </c>
      <c r="B90" s="111">
        <v>0.79</v>
      </c>
      <c r="C90" s="111">
        <f>MAX(((((MIN((($F$8*EXP(((($C$8))/$C$17)*$G$8))*1000/1.12/$I$8),$B$20)*$I$8*$H$8)-(MIN((($F$8*EXP((((B90))/$C$17)*$G$8))*1000/1.12/$I$8),$B$20)*$I$8*$H$8))*IF(NVTable_Data_Entry!$D$68=1,0.313,IF(NVTable_Data_Entry!$D$68=2,0.263,0.403))))/0.6,0)</f>
        <v>0</v>
      </c>
      <c r="D90" s="111">
        <f t="shared" si="0"/>
        <v>0.008777777777777778</v>
      </c>
      <c r="E90" s="111">
        <f t="shared" si="1"/>
        <v>84.76205852247982</v>
      </c>
      <c r="F90" s="111">
        <f t="shared" si="2"/>
        <v>64.69914713562132</v>
      </c>
      <c r="G90" s="111">
        <f t="shared" si="4"/>
        <v>0</v>
      </c>
      <c r="H90" s="111">
        <f t="shared" si="5"/>
        <v>0</v>
      </c>
      <c r="I90" s="111">
        <f t="shared" si="3"/>
        <v>0</v>
      </c>
      <c r="J90" s="111"/>
      <c r="K90" s="111"/>
      <c r="L90" s="111"/>
      <c r="M90" s="111"/>
      <c r="N90" s="111"/>
      <c r="O90" s="111"/>
    </row>
    <row r="91" spans="1:15" ht="12.75">
      <c r="A91" s="111">
        <v>55</v>
      </c>
      <c r="B91" s="111">
        <v>0.8</v>
      </c>
      <c r="C91" s="111">
        <f>MAX(((((MIN((($F$8*EXP(((($C$8))/$C$17)*$G$8))*1000/1.12/$I$8),$B$20)*$I$8*$H$8)-(MIN((($F$8*EXP((((B91))/$C$17)*$G$8))*1000/1.12/$I$8),$B$20)*$I$8*$H$8))*IF(NVTable_Data_Entry!$D$68=1,0.313,IF(NVTable_Data_Entry!$D$68=2,0.263,0.403))))/0.6,0)</f>
        <v>0</v>
      </c>
      <c r="D91" s="111">
        <f t="shared" si="0"/>
        <v>0.008888888888888889</v>
      </c>
      <c r="E91" s="111">
        <f t="shared" si="1"/>
        <v>87.34441799986438</v>
      </c>
      <c r="F91" s="111">
        <f t="shared" si="2"/>
        <v>64.69914713562132</v>
      </c>
      <c r="G91" s="111">
        <f t="shared" si="4"/>
        <v>0</v>
      </c>
      <c r="H91" s="111">
        <f t="shared" si="5"/>
        <v>0</v>
      </c>
      <c r="I91" s="111">
        <f t="shared" si="3"/>
        <v>0</v>
      </c>
      <c r="J91" s="111"/>
      <c r="K91" s="111"/>
      <c r="L91" s="111"/>
      <c r="M91" s="111"/>
      <c r="N91" s="111"/>
      <c r="O91" s="111"/>
    </row>
    <row r="92" spans="1:19" ht="12.75">
      <c r="A92" s="111">
        <v>56</v>
      </c>
      <c r="B92" s="111">
        <v>0.81</v>
      </c>
      <c r="C92" s="111">
        <f>MAX(((((MIN((($F$8*EXP(((($C$8))/$C$17)*$G$8))*1000/1.12/$I$8),$B$20)*$I$8*$H$8)-(MIN((($F$8*EXP((((B92))/$C$17)*$G$8))*1000/1.12/$I$8),$B$20)*$I$8*$H$8))*IF(NVTable_Data_Entry!$D$68=1,0.313,IF(NVTable_Data_Entry!$D$68=2,0.263,0.403))))/0.6,0)</f>
        <v>0</v>
      </c>
      <c r="D92" s="111">
        <f t="shared" si="0"/>
        <v>0.009000000000000001</v>
      </c>
      <c r="E92" s="111">
        <f t="shared" si="1"/>
        <v>90</v>
      </c>
      <c r="F92" s="111">
        <f t="shared" si="2"/>
        <v>64.69914713562132</v>
      </c>
      <c r="G92" s="111">
        <f t="shared" si="4"/>
        <v>0</v>
      </c>
      <c r="H92" s="111">
        <f t="shared" si="5"/>
        <v>0</v>
      </c>
      <c r="I92" s="111">
        <f t="shared" si="3"/>
        <v>0</v>
      </c>
      <c r="J92" s="111"/>
      <c r="K92" s="111"/>
      <c r="L92" s="111"/>
      <c r="M92" s="111"/>
      <c r="N92" s="111"/>
      <c r="O92" s="111"/>
      <c r="S92" s="124"/>
    </row>
    <row r="93" spans="1:19" ht="12.75">
      <c r="A93" s="111">
        <v>57</v>
      </c>
      <c r="B93" s="111">
        <v>0.820000000000001</v>
      </c>
      <c r="C93" s="111">
        <f>MAX(((((MIN((($F$8*EXP(((($C$8))/$C$17)*$G$8))*1000/1.12/$I$8),$B$20)*$I$8*$H$8)-(MIN((($F$8*EXP((((B93))/$C$17)*$G$8))*1000/1.12/$I$8),$B$20)*$I$8*$H$8))*IF(NVTable_Data_Entry!$D$68=1,0.313,IF(NVTable_Data_Entry!$D$68=2,0.263,0.403))))/0.6,0)</f>
        <v>0</v>
      </c>
      <c r="D93" s="111">
        <f t="shared" si="0"/>
        <v>0.009111111111111122</v>
      </c>
      <c r="E93" s="111">
        <f t="shared" si="1"/>
        <v>90</v>
      </c>
      <c r="F93" s="111">
        <f t="shared" si="2"/>
        <v>64.69914713562132</v>
      </c>
      <c r="G93" s="111">
        <f t="shared" si="4"/>
        <v>0</v>
      </c>
      <c r="H93" s="111">
        <f t="shared" si="5"/>
        <v>0</v>
      </c>
      <c r="I93" s="111">
        <f t="shared" si="3"/>
        <v>0</v>
      </c>
      <c r="J93" s="111"/>
      <c r="K93" s="111"/>
      <c r="L93" s="111"/>
      <c r="M93" s="111"/>
      <c r="N93" s="111"/>
      <c r="O93" s="111"/>
      <c r="S93" s="124"/>
    </row>
    <row r="94" spans="1:19" ht="12.75">
      <c r="A94" s="111">
        <v>58</v>
      </c>
      <c r="B94" s="111">
        <v>0.830000000000001</v>
      </c>
      <c r="C94" s="111">
        <f>MAX(((((MIN((($F$8*EXP(((($C$8))/$C$17)*$G$8))*1000/1.12/$I$8),$B$20)*$I$8*$H$8)-(MIN((($F$8*EXP((((B94))/$C$17)*$G$8))*1000/1.12/$I$8),$B$20)*$I$8*$H$8))*IF(NVTable_Data_Entry!$D$68=1,0.313,IF(NVTable_Data_Entry!$D$68=2,0.263,0.403))))/0.6,0)</f>
        <v>0</v>
      </c>
      <c r="D94" s="111">
        <f t="shared" si="0"/>
        <v>0.009222222222222232</v>
      </c>
      <c r="E94" s="111">
        <f t="shared" si="1"/>
        <v>90</v>
      </c>
      <c r="F94" s="111">
        <f t="shared" si="2"/>
        <v>64.69914713562132</v>
      </c>
      <c r="G94" s="111">
        <f t="shared" si="4"/>
        <v>0</v>
      </c>
      <c r="H94" s="111">
        <f t="shared" si="5"/>
        <v>0</v>
      </c>
      <c r="I94" s="111">
        <f t="shared" si="3"/>
        <v>0</v>
      </c>
      <c r="J94" s="111"/>
      <c r="K94" s="111"/>
      <c r="L94" s="111"/>
      <c r="M94" s="111"/>
      <c r="N94" s="111"/>
      <c r="O94" s="111"/>
      <c r="S94" s="124"/>
    </row>
    <row r="95" spans="1:19" ht="12.75">
      <c r="A95" s="111">
        <v>59</v>
      </c>
      <c r="B95" s="111">
        <v>0.840000000000001</v>
      </c>
      <c r="C95" s="111">
        <f>MAX(((((MIN((($F$8*EXP(((($C$8))/$C$17)*$G$8))*1000/1.12/$I$8),$B$20)*$I$8*$H$8)-(MIN((($F$8*EXP((((B95))/$C$17)*$G$8))*1000/1.12/$I$8),$B$20)*$I$8*$H$8))*IF(NVTable_Data_Entry!$D$68=1,0.313,IF(NVTable_Data_Entry!$D$68=2,0.263,0.403))))/0.6,0)</f>
        <v>0</v>
      </c>
      <c r="D95" s="111">
        <f t="shared" si="0"/>
        <v>0.009333333333333345</v>
      </c>
      <c r="E95" s="111">
        <f t="shared" si="1"/>
        <v>90</v>
      </c>
      <c r="F95" s="111">
        <f t="shared" si="2"/>
        <v>64.69914713562132</v>
      </c>
      <c r="G95" s="111">
        <f t="shared" si="4"/>
        <v>0</v>
      </c>
      <c r="H95" s="111">
        <f t="shared" si="5"/>
        <v>0</v>
      </c>
      <c r="I95" s="111">
        <f t="shared" si="3"/>
        <v>0</v>
      </c>
      <c r="J95" s="111"/>
      <c r="K95" s="111"/>
      <c r="L95" s="111"/>
      <c r="M95" s="111"/>
      <c r="N95" s="111"/>
      <c r="O95" s="111"/>
      <c r="S95" s="124"/>
    </row>
    <row r="96" spans="1:19" ht="12.75">
      <c r="A96" s="111">
        <v>60</v>
      </c>
      <c r="B96" s="111">
        <v>0.850000000000001</v>
      </c>
      <c r="C96" s="111">
        <f>MAX(((((MIN((($F$8*EXP(((($C$8))/$C$17)*$G$8))*1000/1.12/$I$8),$B$20)*$I$8*$H$8)-(MIN((($F$8*EXP((((B96))/$C$17)*$G$8))*1000/1.12/$I$8),$B$20)*$I$8*$H$8))*IF(NVTable_Data_Entry!$D$68=1,0.313,IF(NVTable_Data_Entry!$D$68=2,0.263,0.403))))/0.6,0)</f>
        <v>0</v>
      </c>
      <c r="D96" s="111">
        <f t="shared" si="0"/>
        <v>0.009444444444444455</v>
      </c>
      <c r="E96" s="111">
        <f t="shared" si="1"/>
        <v>90</v>
      </c>
      <c r="F96" s="111">
        <f t="shared" si="2"/>
        <v>64.69914713562132</v>
      </c>
      <c r="G96" s="111">
        <f t="shared" si="4"/>
        <v>0</v>
      </c>
      <c r="H96" s="111">
        <f t="shared" si="5"/>
        <v>0</v>
      </c>
      <c r="I96" s="111">
        <f t="shared" si="3"/>
        <v>0</v>
      </c>
      <c r="J96" s="111"/>
      <c r="K96" s="111"/>
      <c r="L96" s="111"/>
      <c r="M96" s="111"/>
      <c r="N96" s="111"/>
      <c r="O96" s="111"/>
      <c r="S96" s="124"/>
    </row>
    <row r="97" spans="1:19" ht="12.75">
      <c r="A97" s="111">
        <v>61</v>
      </c>
      <c r="B97" s="111">
        <v>0.860000000000001</v>
      </c>
      <c r="C97" s="111">
        <f>MAX(((((MIN((($F$8*EXP(((($C$8))/$C$17)*$G$8))*1000/1.12/$I$8),$B$20)*$I$8*$H$8)-(MIN((($F$8*EXP((((B97))/$C$17)*$G$8))*1000/1.12/$I$8),$B$20)*$I$8*$H$8))*IF(NVTable_Data_Entry!$D$68=1,0.313,IF(NVTable_Data_Entry!$D$68=2,0.263,0.403))))/0.6,0)</f>
        <v>0</v>
      </c>
      <c r="D97" s="111">
        <f t="shared" si="0"/>
        <v>0.009555555555555567</v>
      </c>
      <c r="E97" s="111">
        <f t="shared" si="1"/>
        <v>90</v>
      </c>
      <c r="F97" s="111">
        <f t="shared" si="2"/>
        <v>64.69914713562132</v>
      </c>
      <c r="G97" s="111">
        <f t="shared" si="4"/>
        <v>0</v>
      </c>
      <c r="H97" s="111">
        <f t="shared" si="5"/>
        <v>0</v>
      </c>
      <c r="I97" s="111">
        <f t="shared" si="3"/>
        <v>0</v>
      </c>
      <c r="J97" s="111"/>
      <c r="K97" s="111"/>
      <c r="L97" s="111"/>
      <c r="M97" s="111"/>
      <c r="N97" s="111"/>
      <c r="O97" s="111"/>
      <c r="S97" s="124"/>
    </row>
    <row r="98" spans="1:15" ht="12.75">
      <c r="A98" s="111">
        <v>62</v>
      </c>
      <c r="B98" s="111">
        <v>0.870000000000001</v>
      </c>
      <c r="C98" s="111">
        <f>MAX(((((MIN((($F$8*EXP(((($C$8))/$C$17)*$G$8))*1000/1.12/$I$8),$B$20)*$I$8*$H$8)-(MIN((($F$8*EXP((((B98))/$C$17)*$G$8))*1000/1.12/$I$8),$B$20)*$I$8*$H$8))*IF(NVTable_Data_Entry!$D$68=1,0.313,IF(NVTable_Data_Entry!$D$68=2,0.263,0.403))))/0.6,0)</f>
        <v>0</v>
      </c>
      <c r="D98" s="111">
        <f t="shared" si="0"/>
        <v>0.009666666666666678</v>
      </c>
      <c r="E98" s="111">
        <f t="shared" si="1"/>
        <v>90</v>
      </c>
      <c r="F98" s="111">
        <f t="shared" si="2"/>
        <v>64.69914713562132</v>
      </c>
      <c r="G98" s="111">
        <f t="shared" si="4"/>
        <v>0</v>
      </c>
      <c r="H98" s="111">
        <f t="shared" si="5"/>
        <v>0</v>
      </c>
      <c r="I98" s="111">
        <f t="shared" si="3"/>
        <v>0</v>
      </c>
      <c r="J98" s="111"/>
      <c r="K98" s="111"/>
      <c r="L98" s="111"/>
      <c r="M98" s="111"/>
      <c r="N98" s="111"/>
      <c r="O98" s="111"/>
    </row>
    <row r="99" spans="1:15" ht="13.5" thickBot="1">
      <c r="A99" s="120">
        <v>63</v>
      </c>
      <c r="B99" s="120">
        <v>0.880000000000001</v>
      </c>
      <c r="C99" s="120">
        <f>MAX(((((MIN((($F$8*EXP(((($C$8))/$C$17)*$G$8))*1000/1.12/$I$8),$B$20)*$I$8*$H$8)-(MIN((($F$8*EXP((((B99))/$C$17)*$G$8))*1000/1.12/$I$8),$B$20)*$I$8*$H$8))*IF(NVTable_Data_Entry!$D$68=1,0.313,IF(NVTable_Data_Entry!$D$68=2,0.263,0.403))))/0.6,0)</f>
        <v>0</v>
      </c>
      <c r="D99" s="120">
        <f t="shared" si="0"/>
        <v>0.00977777777777779</v>
      </c>
      <c r="E99" s="120">
        <f t="shared" si="1"/>
        <v>90</v>
      </c>
      <c r="F99" s="120">
        <f t="shared" si="2"/>
        <v>64.69914713562132</v>
      </c>
      <c r="G99" s="120">
        <f t="shared" si="4"/>
        <v>0</v>
      </c>
      <c r="H99" s="111">
        <f t="shared" si="5"/>
        <v>0</v>
      </c>
      <c r="I99" s="120">
        <f t="shared" si="3"/>
        <v>0</v>
      </c>
      <c r="J99" s="111"/>
      <c r="K99" s="111"/>
      <c r="L99" s="111"/>
      <c r="M99" s="111"/>
      <c r="N99" s="111"/>
      <c r="O99" s="111"/>
    </row>
    <row r="100" spans="8:9" ht="12.75">
      <c r="H100" s="88"/>
      <c r="I100" s="88"/>
    </row>
    <row r="101" spans="8:9" ht="12.75">
      <c r="H101" s="88"/>
      <c r="I101" s="88"/>
    </row>
    <row r="102" spans="1:9" ht="12.75">
      <c r="A102" s="121" t="s">
        <v>43</v>
      </c>
      <c r="B102" s="121"/>
      <c r="C102" s="121"/>
      <c r="H102" s="88"/>
      <c r="I102" s="88"/>
    </row>
    <row r="103" spans="1:9" ht="12.75">
      <c r="A103" s="122" t="s">
        <v>33</v>
      </c>
      <c r="B103" s="122" t="s">
        <v>45</v>
      </c>
      <c r="C103" s="122" t="s">
        <v>44</v>
      </c>
      <c r="D103" s="123" t="s">
        <v>46</v>
      </c>
      <c r="H103" s="88"/>
      <c r="I103" s="88"/>
    </row>
    <row r="104" spans="1:9" ht="12.75">
      <c r="A104" s="121">
        <v>1</v>
      </c>
      <c r="B104" s="31">
        <v>0.5656</v>
      </c>
      <c r="C104" s="31" t="s">
        <v>12</v>
      </c>
      <c r="D104" s="88">
        <v>2</v>
      </c>
      <c r="H104" s="88"/>
      <c r="I104" s="88"/>
    </row>
    <row r="105" spans="1:9" ht="12.75">
      <c r="A105" s="121">
        <v>2</v>
      </c>
      <c r="B105" s="31">
        <v>0.701</v>
      </c>
      <c r="C105" s="31" t="s">
        <v>51</v>
      </c>
      <c r="H105" s="88"/>
      <c r="I105" s="88"/>
    </row>
    <row r="106" spans="8:9" ht="12.75">
      <c r="H106" s="88"/>
      <c r="I106" s="88"/>
    </row>
    <row r="107" spans="8:9" ht="12.75">
      <c r="H107" s="88"/>
      <c r="I107" s="88"/>
    </row>
    <row r="108" spans="8:9" ht="12.75">
      <c r="H108" s="88"/>
      <c r="I108" s="88"/>
    </row>
    <row r="109" spans="8:9" ht="12.75">
      <c r="H109" s="88"/>
      <c r="I109" s="88"/>
    </row>
    <row r="110" spans="8:9" ht="12.75">
      <c r="H110" s="88"/>
      <c r="I110" s="88"/>
    </row>
    <row r="111" spans="8:9" ht="12.75">
      <c r="H111" s="88"/>
      <c r="I111" s="88"/>
    </row>
    <row r="112" spans="8:9" ht="12.75">
      <c r="H112" s="88"/>
      <c r="I112" s="88"/>
    </row>
    <row r="113" spans="8:9" ht="12.75">
      <c r="H113" s="88"/>
      <c r="I113" s="88"/>
    </row>
    <row r="114" spans="8:9" ht="12.75">
      <c r="H114" s="88"/>
      <c r="I114" s="88"/>
    </row>
    <row r="115" spans="8:9" ht="12.75">
      <c r="H115" s="88"/>
      <c r="I115" s="88"/>
    </row>
    <row r="116" spans="8:9" ht="12.75">
      <c r="H116" s="88"/>
      <c r="I116" s="88"/>
    </row>
    <row r="117" spans="8:9" ht="12.75">
      <c r="H117" s="88"/>
      <c r="I117" s="88"/>
    </row>
    <row r="118" spans="8:9" ht="12.75">
      <c r="H118" s="88"/>
      <c r="I118" s="88"/>
    </row>
    <row r="119" spans="8:9" ht="12.75">
      <c r="H119" s="88"/>
      <c r="I119" s="88"/>
    </row>
    <row r="120" spans="8:9" ht="12.75">
      <c r="H120" s="88"/>
      <c r="I120" s="88"/>
    </row>
    <row r="121" spans="8:9" ht="12.75">
      <c r="H121" s="88"/>
      <c r="I121" s="88"/>
    </row>
    <row r="122" spans="8:9" ht="12.75">
      <c r="H122" s="88"/>
      <c r="I122" s="88"/>
    </row>
    <row r="123" spans="8:9" ht="12.75">
      <c r="H123" s="88"/>
      <c r="I123" s="88"/>
    </row>
    <row r="124" spans="8:9" ht="12.75">
      <c r="H124" s="88"/>
      <c r="I124" s="88"/>
    </row>
    <row r="125" spans="8:9" ht="12.75">
      <c r="H125" s="88"/>
      <c r="I125" s="88"/>
    </row>
    <row r="126" spans="8:9" ht="12.75">
      <c r="H126" s="88"/>
      <c r="I126" s="88"/>
    </row>
    <row r="127" spans="8:9" ht="12.75">
      <c r="H127" s="88"/>
      <c r="I127" s="88"/>
    </row>
    <row r="128" spans="8:9" ht="12.75">
      <c r="H128" s="88"/>
      <c r="I128" s="88"/>
    </row>
    <row r="129" spans="8:9" ht="12.75">
      <c r="H129" s="88"/>
      <c r="I129" s="88"/>
    </row>
    <row r="130" spans="8:9" ht="12.75">
      <c r="H130" s="88"/>
      <c r="I130" s="88"/>
    </row>
    <row r="131" spans="8:9" ht="12.75">
      <c r="H131" s="88"/>
      <c r="I131" s="88"/>
    </row>
    <row r="132" spans="8:9" ht="12.75">
      <c r="H132" s="88"/>
      <c r="I132" s="88"/>
    </row>
    <row r="133" spans="8:9" ht="12.75">
      <c r="H133" s="88"/>
      <c r="I133" s="88"/>
    </row>
    <row r="134" spans="8:9" ht="12.75">
      <c r="H134" s="88"/>
      <c r="I134" s="88"/>
    </row>
    <row r="135" spans="8:9" ht="12.75">
      <c r="H135" s="88"/>
      <c r="I135" s="88"/>
    </row>
    <row r="136" spans="8:9" ht="12.75">
      <c r="H136" s="88"/>
      <c r="I136" s="88"/>
    </row>
    <row r="137" spans="8:9" ht="12.75">
      <c r="H137" s="88"/>
      <c r="I137" s="88"/>
    </row>
    <row r="138" spans="8:9" ht="12.75">
      <c r="H138" s="88"/>
      <c r="I138" s="88"/>
    </row>
    <row r="139" spans="8:9" ht="12.75">
      <c r="H139" s="88"/>
      <c r="I139" s="88"/>
    </row>
    <row r="140" spans="8:9" ht="12.75">
      <c r="H140" s="88"/>
      <c r="I140" s="88"/>
    </row>
    <row r="141" spans="8:9" ht="12.75">
      <c r="H141" s="88"/>
      <c r="I141" s="88"/>
    </row>
    <row r="142" spans="8:9" ht="12.75">
      <c r="H142" s="88"/>
      <c r="I142" s="88"/>
    </row>
    <row r="143" spans="8:9" ht="12.75">
      <c r="H143" s="88"/>
      <c r="I143" s="88"/>
    </row>
    <row r="144" spans="8:9" ht="12.75">
      <c r="H144" s="88"/>
      <c r="I144" s="88"/>
    </row>
    <row r="145" spans="8:9" ht="12.75">
      <c r="H145" s="88"/>
      <c r="I145" s="88"/>
    </row>
    <row r="146" spans="8:9" ht="12.75">
      <c r="H146" s="88"/>
      <c r="I146" s="88"/>
    </row>
    <row r="147" spans="8:9" ht="12.75">
      <c r="H147" s="88"/>
      <c r="I147" s="88"/>
    </row>
    <row r="148" spans="8:9" ht="12.75">
      <c r="H148" s="88"/>
      <c r="I148" s="88"/>
    </row>
    <row r="149" spans="8:9" ht="12.75">
      <c r="H149" s="88"/>
      <c r="I149" s="88"/>
    </row>
    <row r="150" spans="8:9" ht="12.75">
      <c r="H150" s="88"/>
      <c r="I150" s="88"/>
    </row>
    <row r="151" spans="8:9" ht="12.75">
      <c r="H151" s="88"/>
      <c r="I151" s="88"/>
    </row>
    <row r="152" spans="8:9" ht="12.75">
      <c r="H152" s="88"/>
      <c r="I152" s="88"/>
    </row>
    <row r="153" spans="8:9" ht="12.75">
      <c r="H153" s="88"/>
      <c r="I153" s="88"/>
    </row>
    <row r="154" spans="8:9" ht="12.75">
      <c r="H154" s="88"/>
      <c r="I154" s="88"/>
    </row>
    <row r="155" spans="8:9" ht="12.75">
      <c r="H155" s="88"/>
      <c r="I155" s="88"/>
    </row>
    <row r="156" spans="8:9" ht="12.75">
      <c r="H156" s="88"/>
      <c r="I156" s="88"/>
    </row>
    <row r="157" spans="8:9" ht="12.75">
      <c r="H157" s="88"/>
      <c r="I157" s="88"/>
    </row>
    <row r="158" spans="8:9" ht="12.75">
      <c r="H158" s="88"/>
      <c r="I158" s="88"/>
    </row>
    <row r="159" spans="8:9" ht="12.75">
      <c r="H159" s="88"/>
      <c r="I159" s="88"/>
    </row>
    <row r="160" spans="8:9" ht="12.75">
      <c r="H160" s="88"/>
      <c r="I160" s="88"/>
    </row>
    <row r="161" spans="8:9" ht="12.75">
      <c r="H161" s="88"/>
      <c r="I161" s="88"/>
    </row>
    <row r="162" spans="8:9" ht="12.75">
      <c r="H162" s="88"/>
      <c r="I162" s="88"/>
    </row>
    <row r="163" spans="8:9" ht="12.75">
      <c r="H163" s="88"/>
      <c r="I163" s="88"/>
    </row>
    <row r="164" spans="8:9" ht="12.75">
      <c r="H164" s="88"/>
      <c r="I164" s="88"/>
    </row>
    <row r="165" spans="8:9" ht="12.75">
      <c r="H165" s="88"/>
      <c r="I165" s="88"/>
    </row>
    <row r="166" spans="8:9" ht="12.75">
      <c r="H166" s="88"/>
      <c r="I166" s="88"/>
    </row>
    <row r="167" spans="8:9" ht="12.75">
      <c r="H167" s="88"/>
      <c r="I167" s="88"/>
    </row>
    <row r="168" spans="8:9" ht="12.75">
      <c r="H168" s="88"/>
      <c r="I168" s="88"/>
    </row>
    <row r="169" spans="8:9" ht="12.75">
      <c r="H169" s="88"/>
      <c r="I169" s="88"/>
    </row>
    <row r="170" spans="8:9" ht="12.75">
      <c r="H170" s="88"/>
      <c r="I170" s="88"/>
    </row>
    <row r="171" spans="8:9" ht="12.75">
      <c r="H171" s="88"/>
      <c r="I171" s="88"/>
    </row>
    <row r="172" spans="8:9" ht="12.75">
      <c r="H172" s="88"/>
      <c r="I172" s="88"/>
    </row>
    <row r="173" spans="8:9" ht="12.75">
      <c r="H173" s="88"/>
      <c r="I173" s="88"/>
    </row>
    <row r="174" spans="8:9" ht="12.75">
      <c r="H174" s="88"/>
      <c r="I174" s="88"/>
    </row>
    <row r="175" spans="8:9" ht="12.75">
      <c r="H175" s="88"/>
      <c r="I175" s="88"/>
    </row>
    <row r="176" spans="8:9" ht="12.75">
      <c r="H176" s="88"/>
      <c r="I176" s="88"/>
    </row>
    <row r="177" spans="8:9" ht="12.75">
      <c r="H177" s="88"/>
      <c r="I177" s="88"/>
    </row>
    <row r="178" spans="8:9" ht="12.75">
      <c r="H178" s="88"/>
      <c r="I178" s="88"/>
    </row>
    <row r="179" spans="8:9" ht="12.75">
      <c r="H179" s="88"/>
      <c r="I179" s="88"/>
    </row>
    <row r="180" spans="8:9" ht="12.75">
      <c r="H180" s="88"/>
      <c r="I180" s="88"/>
    </row>
    <row r="181" spans="8:9" ht="12.75">
      <c r="H181" s="88"/>
      <c r="I181" s="88"/>
    </row>
    <row r="182" spans="8:9" ht="12.75">
      <c r="H182" s="88"/>
      <c r="I182" s="88"/>
    </row>
    <row r="183" spans="8:9" ht="12.75">
      <c r="H183" s="88"/>
      <c r="I183" s="88"/>
    </row>
    <row r="184" spans="8:9" ht="12.75">
      <c r="H184" s="88"/>
      <c r="I184" s="88"/>
    </row>
    <row r="185" spans="8:9" ht="12.75">
      <c r="H185" s="88"/>
      <c r="I185" s="88"/>
    </row>
    <row r="186" spans="8:9" ht="12.75">
      <c r="H186" s="88"/>
      <c r="I186" s="88"/>
    </row>
    <row r="187" spans="8:9" ht="12.75">
      <c r="H187" s="88"/>
      <c r="I187" s="88"/>
    </row>
    <row r="188" spans="8:9" ht="12.75">
      <c r="H188" s="88"/>
      <c r="I188" s="88"/>
    </row>
    <row r="189" spans="8:9" ht="12.75">
      <c r="H189" s="88"/>
      <c r="I189" s="88"/>
    </row>
    <row r="190" spans="8:9" ht="12.75">
      <c r="H190" s="88"/>
      <c r="I190" s="88"/>
    </row>
    <row r="191" spans="8:9" ht="12.75">
      <c r="H191" s="88"/>
      <c r="I191" s="88"/>
    </row>
    <row r="192" spans="8:9" ht="12.75">
      <c r="H192" s="88"/>
      <c r="I192" s="88"/>
    </row>
    <row r="193" spans="8:9" ht="12.75">
      <c r="H193" s="88"/>
      <c r="I193" s="88"/>
    </row>
    <row r="194" spans="8:9" ht="12.75">
      <c r="H194" s="88"/>
      <c r="I194" s="88"/>
    </row>
    <row r="195" spans="8:9" ht="12.75">
      <c r="H195" s="88"/>
      <c r="I195" s="88"/>
    </row>
    <row r="196" spans="8:9" ht="12.75">
      <c r="H196" s="88"/>
      <c r="I196" s="88"/>
    </row>
    <row r="197" spans="8:9" ht="12.75">
      <c r="H197" s="88"/>
      <c r="I197" s="88"/>
    </row>
    <row r="198" spans="8:9" ht="12.75">
      <c r="H198" s="88"/>
      <c r="I198" s="88"/>
    </row>
    <row r="199" spans="8:9" ht="12.75">
      <c r="H199" s="88"/>
      <c r="I199" s="88"/>
    </row>
    <row r="200" spans="8:9" ht="12.75">
      <c r="H200" s="88"/>
      <c r="I200" s="88"/>
    </row>
    <row r="201" spans="8:9" ht="12.75">
      <c r="H201" s="88"/>
      <c r="I201" s="88"/>
    </row>
    <row r="202" spans="8:9" ht="12.75">
      <c r="H202" s="88"/>
      <c r="I202" s="88"/>
    </row>
    <row r="203" spans="8:9" ht="12.75">
      <c r="H203" s="88"/>
      <c r="I203" s="88"/>
    </row>
    <row r="204" spans="8:9" ht="12.75">
      <c r="H204" s="88"/>
      <c r="I204" s="88"/>
    </row>
    <row r="205" spans="8:9" ht="12.75">
      <c r="H205" s="88"/>
      <c r="I205" s="88"/>
    </row>
    <row r="206" spans="8:9" ht="12.75">
      <c r="H206" s="88"/>
      <c r="I206" s="88"/>
    </row>
    <row r="207" spans="8:9" ht="12.75">
      <c r="H207" s="88"/>
      <c r="I207" s="88"/>
    </row>
    <row r="208" spans="8:9" ht="12.75">
      <c r="H208" s="88"/>
      <c r="I208" s="88"/>
    </row>
    <row r="209" spans="8:9" ht="12.75">
      <c r="H209" s="88"/>
      <c r="I209" s="88"/>
    </row>
    <row r="210" spans="8:9" ht="12.75">
      <c r="H210" s="88"/>
      <c r="I210" s="88"/>
    </row>
    <row r="211" spans="8:9" ht="12.75">
      <c r="H211" s="88"/>
      <c r="I211" s="88"/>
    </row>
    <row r="212" spans="8:9" ht="12.75">
      <c r="H212" s="88"/>
      <c r="I212" s="88"/>
    </row>
    <row r="213" spans="8:9" ht="12.75">
      <c r="H213" s="88"/>
      <c r="I213" s="88"/>
    </row>
    <row r="214" spans="8:9" ht="12.75">
      <c r="H214" s="88"/>
      <c r="I214" s="88"/>
    </row>
    <row r="215" spans="8:9" ht="12.75">
      <c r="H215" s="88"/>
      <c r="I215" s="88"/>
    </row>
    <row r="216" spans="8:9" ht="12.75">
      <c r="H216" s="88"/>
      <c r="I216" s="88"/>
    </row>
    <row r="217" spans="8:9" ht="12.75">
      <c r="H217" s="88"/>
      <c r="I217" s="88"/>
    </row>
    <row r="218" spans="8:9" ht="12.75">
      <c r="H218" s="88"/>
      <c r="I218" s="88"/>
    </row>
    <row r="219" spans="8:9" ht="12.75">
      <c r="H219" s="88"/>
      <c r="I219" s="88"/>
    </row>
    <row r="220" spans="8:9" ht="12.75">
      <c r="H220" s="88"/>
      <c r="I220" s="88"/>
    </row>
    <row r="221" spans="8:9" ht="12.75">
      <c r="H221" s="88"/>
      <c r="I221" s="88"/>
    </row>
    <row r="222" spans="8:9" ht="12.75">
      <c r="H222" s="88"/>
      <c r="I222" s="88"/>
    </row>
    <row r="223" spans="8:9" ht="12.75">
      <c r="H223" s="88"/>
      <c r="I223" s="88"/>
    </row>
    <row r="224" spans="8:9" ht="12.75">
      <c r="H224" s="88"/>
      <c r="I224" s="88"/>
    </row>
    <row r="225" spans="8:9" ht="12.75">
      <c r="H225" s="88"/>
      <c r="I225" s="88"/>
    </row>
    <row r="226" spans="8:9" ht="12.75">
      <c r="H226" s="88"/>
      <c r="I226" s="88"/>
    </row>
    <row r="227" spans="8:9" ht="12.75">
      <c r="H227" s="88"/>
      <c r="I227" s="88"/>
    </row>
    <row r="228" spans="8:9" ht="12.75">
      <c r="H228" s="88"/>
      <c r="I228" s="88"/>
    </row>
    <row r="229" spans="8:9" ht="12.75">
      <c r="H229" s="88"/>
      <c r="I229" s="88"/>
    </row>
    <row r="230" spans="8:9" ht="12.75">
      <c r="H230" s="88"/>
      <c r="I230" s="88"/>
    </row>
    <row r="231" spans="8:9" ht="12.75">
      <c r="H231" s="88"/>
      <c r="I231" s="88"/>
    </row>
    <row r="232" spans="8:9" ht="12.75">
      <c r="H232" s="88"/>
      <c r="I232" s="88"/>
    </row>
    <row r="233" spans="8:9" ht="12.75">
      <c r="H233" s="88"/>
      <c r="I233" s="88"/>
    </row>
    <row r="234" spans="8:9" ht="12.75">
      <c r="H234" s="88"/>
      <c r="I234" s="88"/>
    </row>
    <row r="235" spans="8:9" ht="12.75">
      <c r="H235" s="88"/>
      <c r="I235" s="88"/>
    </row>
    <row r="236" spans="8:9" ht="12.75">
      <c r="H236" s="88"/>
      <c r="I236" s="88"/>
    </row>
    <row r="237" spans="8:9" ht="12.75">
      <c r="H237" s="88"/>
      <c r="I237" s="88"/>
    </row>
    <row r="238" spans="8:9" ht="12.75">
      <c r="H238" s="88"/>
      <c r="I238" s="88"/>
    </row>
    <row r="239" spans="8:9" ht="12.75">
      <c r="H239" s="88"/>
      <c r="I239" s="88"/>
    </row>
    <row r="240" spans="8:9" ht="12.75">
      <c r="H240" s="88"/>
      <c r="I240" s="88"/>
    </row>
    <row r="241" spans="8:9" ht="12.75">
      <c r="H241" s="88"/>
      <c r="I241" s="88"/>
    </row>
    <row r="242" spans="8:9" ht="12.75">
      <c r="H242" s="88"/>
      <c r="I242" s="88"/>
    </row>
    <row r="243" spans="8:9" ht="12.75">
      <c r="H243" s="88"/>
      <c r="I243" s="88"/>
    </row>
    <row r="244" spans="8:9" ht="12.75">
      <c r="H244" s="88"/>
      <c r="I244" s="88"/>
    </row>
    <row r="245" spans="8:9" ht="12.75">
      <c r="H245" s="88"/>
      <c r="I245" s="88"/>
    </row>
    <row r="246" spans="8:9" ht="12.75">
      <c r="H246" s="88"/>
      <c r="I246" s="88"/>
    </row>
    <row r="247" spans="8:9" ht="12.75">
      <c r="H247" s="88"/>
      <c r="I247" s="88"/>
    </row>
    <row r="248" spans="8:9" ht="12.75">
      <c r="H248" s="88"/>
      <c r="I248" s="88"/>
    </row>
    <row r="249" spans="8:9" ht="12.75">
      <c r="H249" s="88"/>
      <c r="I249" s="88"/>
    </row>
    <row r="250" spans="8:9" ht="12.75">
      <c r="H250" s="88"/>
      <c r="I250" s="88"/>
    </row>
    <row r="251" spans="8:9" ht="12.75">
      <c r="H251" s="88"/>
      <c r="I251" s="88"/>
    </row>
    <row r="252" spans="8:9" ht="12.75">
      <c r="H252" s="88"/>
      <c r="I252" s="88"/>
    </row>
    <row r="253" spans="8:9" ht="12.75">
      <c r="H253" s="88"/>
      <c r="I253" s="88"/>
    </row>
    <row r="254" spans="8:9" ht="12.75">
      <c r="H254" s="88"/>
      <c r="I254" s="88"/>
    </row>
    <row r="255" spans="8:9" ht="12.75">
      <c r="H255" s="88"/>
      <c r="I255" s="88"/>
    </row>
    <row r="256" spans="8:9" ht="12.75">
      <c r="H256" s="88"/>
      <c r="I256" s="88"/>
    </row>
    <row r="257" spans="8:9" ht="12.75">
      <c r="H257" s="88"/>
      <c r="I257" s="88"/>
    </row>
    <row r="258" spans="8:9" ht="12.75">
      <c r="H258" s="88"/>
      <c r="I258" s="88"/>
    </row>
    <row r="259" spans="8:9" ht="12.75">
      <c r="H259" s="88"/>
      <c r="I259" s="88"/>
    </row>
    <row r="260" spans="8:9" ht="12.75">
      <c r="H260" s="88"/>
      <c r="I260" s="88"/>
    </row>
    <row r="261" spans="8:9" ht="12.75">
      <c r="H261" s="88"/>
      <c r="I261" s="88"/>
    </row>
    <row r="262" spans="8:9" ht="12.75">
      <c r="H262" s="88"/>
      <c r="I262" s="88"/>
    </row>
    <row r="263" spans="8:9" ht="12.75">
      <c r="H263" s="88"/>
      <c r="I263" s="88"/>
    </row>
    <row r="264" spans="8:9" ht="12.75">
      <c r="H264" s="88"/>
      <c r="I264" s="88"/>
    </row>
    <row r="265" spans="8:9" ht="12.75">
      <c r="H265" s="88"/>
      <c r="I265" s="88"/>
    </row>
    <row r="266" spans="8:9" ht="12.75">
      <c r="H266" s="88"/>
      <c r="I266" s="88"/>
    </row>
    <row r="267" spans="8:9" ht="12.75">
      <c r="H267" s="88"/>
      <c r="I267" s="88"/>
    </row>
    <row r="268" spans="8:9" ht="12.75">
      <c r="H268" s="88"/>
      <c r="I268" s="88"/>
    </row>
    <row r="269" spans="8:9" ht="12.75">
      <c r="H269" s="88"/>
      <c r="I269" s="88"/>
    </row>
    <row r="270" spans="8:9" ht="12.75">
      <c r="H270" s="88"/>
      <c r="I270" s="88"/>
    </row>
    <row r="271" spans="8:9" ht="12.75">
      <c r="H271" s="88"/>
      <c r="I271" s="88"/>
    </row>
    <row r="272" spans="8:9" ht="12.75">
      <c r="H272" s="88"/>
      <c r="I272" s="88"/>
    </row>
    <row r="273" spans="8:9" ht="12.75">
      <c r="H273" s="88"/>
      <c r="I273" s="88"/>
    </row>
    <row r="274" spans="8:9" ht="12.75">
      <c r="H274" s="88"/>
      <c r="I274" s="88"/>
    </row>
    <row r="275" spans="8:9" ht="12.75">
      <c r="H275" s="88"/>
      <c r="I275" s="88"/>
    </row>
    <row r="276" spans="8:9" ht="12.75">
      <c r="H276" s="88"/>
      <c r="I276" s="88"/>
    </row>
    <row r="277" spans="8:9" ht="12.75">
      <c r="H277" s="88"/>
      <c r="I277" s="88"/>
    </row>
    <row r="278" spans="8:9" ht="12.75">
      <c r="H278" s="88"/>
      <c r="I278" s="88"/>
    </row>
    <row r="279" spans="8:9" ht="12.75">
      <c r="H279" s="88"/>
      <c r="I279" s="88"/>
    </row>
    <row r="280" spans="8:9" ht="12.75">
      <c r="H280" s="88"/>
      <c r="I280" s="88"/>
    </row>
    <row r="281" spans="8:9" ht="12.75">
      <c r="H281" s="88"/>
      <c r="I281" s="88"/>
    </row>
    <row r="282" spans="8:9" ht="12.75">
      <c r="H282" s="88"/>
      <c r="I282" s="88"/>
    </row>
    <row r="283" spans="8:9" ht="12.75">
      <c r="H283" s="88"/>
      <c r="I283" s="88"/>
    </row>
    <row r="284" spans="8:9" ht="12.75">
      <c r="H284" s="88"/>
      <c r="I284" s="88"/>
    </row>
    <row r="285" spans="8:9" ht="12.75">
      <c r="H285" s="88"/>
      <c r="I285" s="88"/>
    </row>
    <row r="286" spans="8:9" ht="12.75">
      <c r="H286" s="88"/>
      <c r="I286" s="88"/>
    </row>
    <row r="287" spans="8:9" ht="12.75">
      <c r="H287" s="88"/>
      <c r="I287" s="88"/>
    </row>
    <row r="288" spans="8:9" ht="12.75">
      <c r="H288" s="88"/>
      <c r="I288" s="88"/>
    </row>
    <row r="289" spans="8:9" ht="12.75">
      <c r="H289" s="88"/>
      <c r="I289" s="88"/>
    </row>
    <row r="290" spans="8:9" ht="12.75">
      <c r="H290" s="88"/>
      <c r="I290" s="88"/>
    </row>
    <row r="291" spans="8:9" ht="12.75">
      <c r="H291" s="88"/>
      <c r="I291" s="88"/>
    </row>
    <row r="292" spans="8:9" ht="12.75">
      <c r="H292" s="88"/>
      <c r="I292" s="88"/>
    </row>
    <row r="293" spans="8:9" ht="12.75">
      <c r="H293" s="88"/>
      <c r="I293" s="88"/>
    </row>
    <row r="294" spans="8:9" ht="12.75">
      <c r="H294" s="88"/>
      <c r="I294" s="88"/>
    </row>
    <row r="295" spans="8:9" ht="12.75">
      <c r="H295" s="88"/>
      <c r="I295" s="88"/>
    </row>
    <row r="296" spans="8:9" ht="12.75">
      <c r="H296" s="88"/>
      <c r="I296" s="88"/>
    </row>
    <row r="297" spans="8:9" ht="12.75">
      <c r="H297" s="88"/>
      <c r="I297" s="88"/>
    </row>
    <row r="298" spans="8:9" ht="12.75">
      <c r="H298" s="88"/>
      <c r="I298" s="88"/>
    </row>
    <row r="299" spans="8:9" ht="12.75">
      <c r="H299" s="88"/>
      <c r="I299" s="88"/>
    </row>
    <row r="300" spans="8:9" ht="12.75">
      <c r="H300" s="88"/>
      <c r="I300" s="88"/>
    </row>
    <row r="301" spans="8:9" ht="12.75">
      <c r="H301" s="88"/>
      <c r="I301" s="88"/>
    </row>
    <row r="302" spans="8:9" ht="12.75">
      <c r="H302" s="88"/>
      <c r="I302" s="88"/>
    </row>
    <row r="303" spans="8:9" ht="12.75">
      <c r="H303" s="88"/>
      <c r="I303" s="88"/>
    </row>
    <row r="304" spans="8:9" ht="12.75">
      <c r="H304" s="88"/>
      <c r="I304" s="88"/>
    </row>
    <row r="305" spans="8:9" ht="12.75">
      <c r="H305" s="88"/>
      <c r="I305" s="88"/>
    </row>
    <row r="306" spans="8:9" ht="12.75">
      <c r="H306" s="88"/>
      <c r="I306" s="88"/>
    </row>
    <row r="307" spans="8:9" ht="12.75">
      <c r="H307" s="88"/>
      <c r="I307" s="88"/>
    </row>
    <row r="308" spans="8:9" ht="12.75">
      <c r="H308" s="88"/>
      <c r="I308" s="88"/>
    </row>
    <row r="309" spans="8:9" ht="12.75">
      <c r="H309" s="88"/>
      <c r="I309" s="88"/>
    </row>
    <row r="310" spans="8:9" ht="12.75">
      <c r="H310" s="88"/>
      <c r="I310" s="88"/>
    </row>
    <row r="311" spans="8:9" ht="12.75">
      <c r="H311" s="88"/>
      <c r="I311" s="88"/>
    </row>
    <row r="312" spans="8:9" ht="12.75">
      <c r="H312" s="88"/>
      <c r="I312" s="88"/>
    </row>
    <row r="313" spans="8:9" ht="12.75">
      <c r="H313" s="88"/>
      <c r="I313" s="88"/>
    </row>
    <row r="314" spans="8:9" ht="12.75">
      <c r="H314" s="88"/>
      <c r="I314" s="88"/>
    </row>
    <row r="315" spans="8:9" ht="12.75">
      <c r="H315" s="88"/>
      <c r="I315" s="88"/>
    </row>
    <row r="316" spans="8:9" ht="12.75">
      <c r="H316" s="88"/>
      <c r="I316" s="88"/>
    </row>
    <row r="317" spans="8:9" ht="12.75">
      <c r="H317" s="88"/>
      <c r="I317" s="88"/>
    </row>
    <row r="318" spans="8:9" ht="12.75">
      <c r="H318" s="88"/>
      <c r="I318" s="88"/>
    </row>
    <row r="319" spans="8:9" ht="12.75">
      <c r="H319" s="88"/>
      <c r="I319" s="88"/>
    </row>
    <row r="320" spans="8:9" ht="12.75">
      <c r="H320" s="88"/>
      <c r="I320" s="88"/>
    </row>
    <row r="321" spans="8:9" ht="12.75">
      <c r="H321" s="88"/>
      <c r="I321" s="88"/>
    </row>
    <row r="322" spans="8:9" ht="12.75">
      <c r="H322" s="88"/>
      <c r="I322" s="88"/>
    </row>
    <row r="323" spans="8:9" ht="12.75">
      <c r="H323" s="88"/>
      <c r="I323" s="88"/>
    </row>
    <row r="324" spans="8:9" ht="12.75">
      <c r="H324" s="88"/>
      <c r="I324" s="88"/>
    </row>
    <row r="325" spans="8:9" ht="12.75">
      <c r="H325" s="88"/>
      <c r="I325" s="88"/>
    </row>
    <row r="326" spans="8:9" ht="12.75">
      <c r="H326" s="88"/>
      <c r="I326" s="88"/>
    </row>
    <row r="327" spans="8:9" ht="12.75">
      <c r="H327" s="88"/>
      <c r="I327" s="88"/>
    </row>
    <row r="328" spans="8:9" ht="12.75">
      <c r="H328" s="88"/>
      <c r="I328" s="88"/>
    </row>
    <row r="329" spans="8:9" ht="12.75">
      <c r="H329" s="88"/>
      <c r="I329" s="88"/>
    </row>
    <row r="330" spans="8:9" ht="12.75">
      <c r="H330" s="88"/>
      <c r="I330" s="88"/>
    </row>
    <row r="331" spans="8:9" ht="12.75">
      <c r="H331" s="88"/>
      <c r="I331" s="88"/>
    </row>
    <row r="332" spans="8:9" ht="12.75">
      <c r="H332" s="88"/>
      <c r="I332" s="88"/>
    </row>
    <row r="333" spans="8:9" ht="12.75">
      <c r="H333" s="88"/>
      <c r="I333" s="88"/>
    </row>
    <row r="334" spans="8:9" ht="12.75">
      <c r="H334" s="88"/>
      <c r="I334" s="88"/>
    </row>
    <row r="335" spans="8:9" ht="12.75">
      <c r="H335" s="88"/>
      <c r="I335" s="88"/>
    </row>
    <row r="336" spans="8:9" ht="12.75">
      <c r="H336" s="88"/>
      <c r="I336" s="88"/>
    </row>
    <row r="337" spans="8:9" ht="12.75">
      <c r="H337" s="88"/>
      <c r="I337" s="88"/>
    </row>
    <row r="338" spans="8:9" ht="12.75">
      <c r="H338" s="88"/>
      <c r="I338" s="88"/>
    </row>
    <row r="339" spans="8:9" ht="12.75">
      <c r="H339" s="88"/>
      <c r="I339" s="88"/>
    </row>
    <row r="340" spans="8:9" ht="12.75">
      <c r="H340" s="88"/>
      <c r="I340" s="88"/>
    </row>
    <row r="341" spans="8:9" ht="12.75">
      <c r="H341" s="88"/>
      <c r="I341" s="88"/>
    </row>
    <row r="342" spans="8:9" ht="12.75">
      <c r="H342" s="88"/>
      <c r="I342" s="88"/>
    </row>
    <row r="343" spans="8:9" ht="12.75">
      <c r="H343" s="88"/>
      <c r="I343" s="88"/>
    </row>
    <row r="344" spans="8:9" ht="12.75">
      <c r="H344" s="88"/>
      <c r="I344" s="88"/>
    </row>
    <row r="345" spans="8:9" ht="12.75">
      <c r="H345" s="88"/>
      <c r="I345" s="88"/>
    </row>
    <row r="346" spans="8:9" ht="12.75">
      <c r="H346" s="88"/>
      <c r="I346" s="88"/>
    </row>
    <row r="347" spans="8:9" ht="12.75">
      <c r="H347" s="88"/>
      <c r="I347" s="88"/>
    </row>
    <row r="348" spans="8:9" ht="12.75">
      <c r="H348" s="88"/>
      <c r="I348" s="88"/>
    </row>
    <row r="349" spans="8:9" ht="12.75">
      <c r="H349" s="88"/>
      <c r="I349" s="88"/>
    </row>
    <row r="350" spans="8:9" ht="12.75">
      <c r="H350" s="88"/>
      <c r="I350" s="88"/>
    </row>
    <row r="351" spans="8:9" ht="12.75">
      <c r="H351" s="88"/>
      <c r="I351" s="88"/>
    </row>
    <row r="352" spans="8:9" ht="12.75">
      <c r="H352" s="88"/>
      <c r="I352" s="88"/>
    </row>
    <row r="353" spans="8:9" ht="12.75">
      <c r="H353" s="88"/>
      <c r="I353" s="88"/>
    </row>
    <row r="354" spans="8:9" ht="12.75">
      <c r="H354" s="88"/>
      <c r="I354" s="88"/>
    </row>
    <row r="355" spans="8:9" ht="12.75">
      <c r="H355" s="88"/>
      <c r="I355" s="88"/>
    </row>
    <row r="356" spans="8:9" ht="12.75">
      <c r="H356" s="88"/>
      <c r="I356" s="88"/>
    </row>
    <row r="357" spans="8:9" ht="12.75">
      <c r="H357" s="88"/>
      <c r="I357" s="88"/>
    </row>
    <row r="358" spans="8:9" ht="12.75">
      <c r="H358" s="88"/>
      <c r="I358" s="88"/>
    </row>
    <row r="359" spans="8:9" ht="12.75">
      <c r="H359" s="88"/>
      <c r="I359" s="88"/>
    </row>
    <row r="360" spans="8:9" ht="12.75">
      <c r="H360" s="88"/>
      <c r="I360" s="88"/>
    </row>
    <row r="361" spans="8:9" ht="12.75">
      <c r="H361" s="88"/>
      <c r="I361" s="88"/>
    </row>
    <row r="362" spans="8:9" ht="12.75">
      <c r="H362" s="88"/>
      <c r="I362" s="88"/>
    </row>
    <row r="363" spans="8:9" ht="12.75">
      <c r="H363" s="88"/>
      <c r="I363" s="88"/>
    </row>
    <row r="364" spans="8:9" ht="12.75">
      <c r="H364" s="88"/>
      <c r="I364" s="88"/>
    </row>
    <row r="365" spans="8:9" ht="12.75">
      <c r="H365" s="88"/>
      <c r="I365" s="88"/>
    </row>
    <row r="366" spans="8:9" ht="12.75">
      <c r="H366" s="88"/>
      <c r="I366" s="88"/>
    </row>
    <row r="367" spans="8:9" ht="12.75">
      <c r="H367" s="88"/>
      <c r="I367" s="88"/>
    </row>
    <row r="368" spans="8:9" ht="12.75">
      <c r="H368" s="88"/>
      <c r="I368" s="88"/>
    </row>
    <row r="369" spans="8:9" ht="12.75">
      <c r="H369" s="88"/>
      <c r="I369" s="88"/>
    </row>
    <row r="370" spans="8:9" ht="12.75">
      <c r="H370" s="88"/>
      <c r="I370" s="88"/>
    </row>
    <row r="371" spans="8:9" ht="12.75">
      <c r="H371" s="88"/>
      <c r="I371" s="88"/>
    </row>
    <row r="372" spans="8:9" ht="12.75">
      <c r="H372" s="88"/>
      <c r="I372" s="88"/>
    </row>
    <row r="373" spans="8:9" ht="12.75">
      <c r="H373" s="88"/>
      <c r="I373" s="88"/>
    </row>
    <row r="374" spans="8:9" ht="12.75">
      <c r="H374" s="88"/>
      <c r="I374" s="88"/>
    </row>
    <row r="375" spans="8:9" ht="12.75">
      <c r="H375" s="88"/>
      <c r="I375" s="88"/>
    </row>
    <row r="376" spans="8:9" ht="12.75">
      <c r="H376" s="88"/>
      <c r="I376" s="88"/>
    </row>
    <row r="377" spans="8:9" ht="12.75">
      <c r="H377" s="88"/>
      <c r="I377" s="88"/>
    </row>
    <row r="378" spans="8:9" ht="12.75">
      <c r="H378" s="88"/>
      <c r="I378" s="88"/>
    </row>
    <row r="379" spans="8:9" ht="12.75">
      <c r="H379" s="88"/>
      <c r="I379" s="88"/>
    </row>
    <row r="380" spans="8:9" ht="12.75">
      <c r="H380" s="88"/>
      <c r="I380" s="88"/>
    </row>
    <row r="381" spans="8:9" ht="12.75">
      <c r="H381" s="88"/>
      <c r="I381" s="88"/>
    </row>
    <row r="382" spans="8:9" ht="12.75">
      <c r="H382" s="88"/>
      <c r="I382" s="88"/>
    </row>
    <row r="383" spans="8:9" ht="12.75">
      <c r="H383" s="88"/>
      <c r="I383" s="88"/>
    </row>
    <row r="384" spans="8:9" ht="12.75">
      <c r="H384" s="88"/>
      <c r="I384" s="88"/>
    </row>
    <row r="385" spans="8:9" ht="12.75">
      <c r="H385" s="88"/>
      <c r="I385" s="88"/>
    </row>
    <row r="386" spans="8:9" ht="12.75">
      <c r="H386" s="88"/>
      <c r="I386" s="88"/>
    </row>
    <row r="387" spans="8:9" ht="12.75">
      <c r="H387" s="88"/>
      <c r="I387" s="88"/>
    </row>
    <row r="388" spans="8:9" ht="12.75">
      <c r="H388" s="88"/>
      <c r="I388" s="88"/>
    </row>
    <row r="389" spans="8:9" ht="12.75">
      <c r="H389" s="88"/>
      <c r="I389" s="88"/>
    </row>
    <row r="390" spans="8:9" ht="12.75">
      <c r="H390" s="88"/>
      <c r="I390" s="88"/>
    </row>
    <row r="391" spans="8:9" ht="12.75">
      <c r="H391" s="88"/>
      <c r="I391" s="88"/>
    </row>
    <row r="392" spans="8:9" ht="12.75">
      <c r="H392" s="88"/>
      <c r="I392" s="88"/>
    </row>
    <row r="393" spans="8:9" ht="12.75">
      <c r="H393" s="88"/>
      <c r="I393" s="88"/>
    </row>
    <row r="394" spans="8:9" ht="12.75">
      <c r="H394" s="88"/>
      <c r="I394" s="88"/>
    </row>
    <row r="395" spans="8:9" ht="12.75">
      <c r="H395" s="88"/>
      <c r="I395" s="88"/>
    </row>
    <row r="396" spans="8:9" ht="12.75">
      <c r="H396" s="88"/>
      <c r="I396" s="88"/>
    </row>
    <row r="397" spans="8:9" ht="12.75">
      <c r="H397" s="88"/>
      <c r="I397" s="88"/>
    </row>
    <row r="398" spans="8:9" ht="12.75">
      <c r="H398" s="88"/>
      <c r="I398" s="88"/>
    </row>
    <row r="399" spans="8:9" ht="12.75">
      <c r="H399" s="88"/>
      <c r="I399" s="88"/>
    </row>
    <row r="400" spans="8:9" ht="12.75">
      <c r="H400" s="88"/>
      <c r="I400" s="88"/>
    </row>
    <row r="401" spans="8:9" ht="12.75">
      <c r="H401" s="88"/>
      <c r="I401" s="88"/>
    </row>
    <row r="402" spans="8:9" ht="12.75">
      <c r="H402" s="88"/>
      <c r="I402" s="88"/>
    </row>
    <row r="403" spans="8:9" ht="12.75">
      <c r="H403" s="88"/>
      <c r="I403" s="88"/>
    </row>
    <row r="404" spans="8:9" ht="12.75">
      <c r="H404" s="88"/>
      <c r="I404" s="88"/>
    </row>
    <row r="405" spans="8:9" ht="12.75">
      <c r="H405" s="88"/>
      <c r="I405" s="88"/>
    </row>
    <row r="406" spans="8:9" ht="12.75">
      <c r="H406" s="88"/>
      <c r="I406" s="88"/>
    </row>
    <row r="407" spans="8:9" ht="12.75">
      <c r="H407" s="88"/>
      <c r="I407" s="88"/>
    </row>
    <row r="408" spans="8:9" ht="12.75">
      <c r="H408" s="88"/>
      <c r="I408" s="88"/>
    </row>
    <row r="409" spans="8:9" ht="12.75">
      <c r="H409" s="88"/>
      <c r="I409" s="88"/>
    </row>
    <row r="410" spans="8:9" ht="12.75">
      <c r="H410" s="88"/>
      <c r="I410" s="88"/>
    </row>
    <row r="411" spans="8:9" ht="12.75">
      <c r="H411" s="88"/>
      <c r="I411" s="88"/>
    </row>
    <row r="412" spans="8:9" ht="12.75">
      <c r="H412" s="88"/>
      <c r="I412" s="88"/>
    </row>
    <row r="413" spans="8:9" ht="12.75">
      <c r="H413" s="88"/>
      <c r="I413" s="88"/>
    </row>
    <row r="414" spans="8:9" ht="12.75">
      <c r="H414" s="88"/>
      <c r="I414" s="88"/>
    </row>
    <row r="415" spans="8:9" ht="12.75">
      <c r="H415" s="88"/>
      <c r="I415" s="88"/>
    </row>
    <row r="416" spans="8:9" ht="12.75">
      <c r="H416" s="88"/>
      <c r="I416" s="88"/>
    </row>
    <row r="417" spans="8:9" ht="12.75">
      <c r="H417" s="88"/>
      <c r="I417" s="88"/>
    </row>
    <row r="418" spans="8:9" ht="12.75">
      <c r="H418" s="88"/>
      <c r="I418" s="88"/>
    </row>
    <row r="419" spans="8:9" ht="12.75">
      <c r="H419" s="88"/>
      <c r="I419" s="88"/>
    </row>
    <row r="420" spans="8:9" ht="12.75">
      <c r="H420" s="88"/>
      <c r="I420" s="88"/>
    </row>
    <row r="421" spans="8:9" ht="12.75">
      <c r="H421" s="88"/>
      <c r="I421" s="88"/>
    </row>
    <row r="422" spans="8:9" ht="12.75">
      <c r="H422" s="88"/>
      <c r="I422" s="88"/>
    </row>
    <row r="423" spans="8:9" ht="12.75">
      <c r="H423" s="88"/>
      <c r="I423" s="88"/>
    </row>
    <row r="424" spans="8:9" ht="12.75">
      <c r="H424" s="88"/>
      <c r="I424" s="88"/>
    </row>
    <row r="425" spans="8:9" ht="12.75">
      <c r="H425" s="88"/>
      <c r="I425" s="88"/>
    </row>
    <row r="426" spans="8:9" ht="12.75">
      <c r="H426" s="88"/>
      <c r="I426" s="88"/>
    </row>
    <row r="427" spans="8:9" ht="12.75">
      <c r="H427" s="88"/>
      <c r="I427" s="88"/>
    </row>
    <row r="428" spans="8:9" ht="12.75">
      <c r="H428" s="88"/>
      <c r="I428" s="88"/>
    </row>
    <row r="429" spans="8:9" ht="12.75">
      <c r="H429" s="88"/>
      <c r="I429" s="88"/>
    </row>
    <row r="430" spans="8:9" ht="12.75">
      <c r="H430" s="88"/>
      <c r="I430" s="88"/>
    </row>
  </sheetData>
  <sheetProtection selectLockedCells="1"/>
  <mergeCells count="5">
    <mergeCell ref="A1:I4"/>
    <mergeCell ref="A6:E6"/>
    <mergeCell ref="F6:I6"/>
    <mergeCell ref="A33:F33"/>
    <mergeCell ref="H33:J33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S430"/>
  <sheetViews>
    <sheetView showGridLines="0" zoomScale="85" zoomScaleNormal="85" workbookViewId="0" topLeftCell="A22">
      <selection activeCell="Q35" sqref="Q35"/>
    </sheetView>
  </sheetViews>
  <sheetFormatPr defaultColWidth="9.140625" defaultRowHeight="12.75"/>
  <cols>
    <col min="1" max="1" width="9.140625" style="88" customWidth="1"/>
    <col min="2" max="2" width="13.28125" style="88" customWidth="1"/>
    <col min="3" max="3" width="12.57421875" style="88" customWidth="1"/>
    <col min="4" max="4" width="11.57421875" style="88" customWidth="1"/>
    <col min="5" max="5" width="11.8515625" style="88" customWidth="1"/>
    <col min="6" max="6" width="11.00390625" style="88" customWidth="1"/>
    <col min="7" max="7" width="12.421875" style="88" customWidth="1"/>
    <col min="8" max="8" width="12.140625" style="124" customWidth="1"/>
    <col min="9" max="9" width="10.00390625" style="124" customWidth="1"/>
    <col min="10" max="10" width="7.00390625" style="88" customWidth="1"/>
    <col min="11" max="11" width="11.421875" style="88" customWidth="1"/>
    <col min="12" max="12" width="13.28125" style="88" customWidth="1"/>
    <col min="13" max="13" width="22.8515625" style="88" customWidth="1"/>
    <col min="14" max="16384" width="9.140625" style="88" customWidth="1"/>
  </cols>
  <sheetData>
    <row r="1" spans="1:12" ht="12.75">
      <c r="A1" s="244" t="s">
        <v>86</v>
      </c>
      <c r="B1" s="245"/>
      <c r="C1" s="245"/>
      <c r="D1" s="245"/>
      <c r="E1" s="245"/>
      <c r="F1" s="245"/>
      <c r="G1" s="245"/>
      <c r="H1" s="245"/>
      <c r="I1" s="245"/>
      <c r="J1" s="79"/>
      <c r="K1" s="79"/>
      <c r="L1" s="79"/>
    </row>
    <row r="2" spans="1:12" ht="12.75">
      <c r="A2" s="246"/>
      <c r="B2" s="245"/>
      <c r="C2" s="245"/>
      <c r="D2" s="245"/>
      <c r="E2" s="245"/>
      <c r="F2" s="245"/>
      <c r="G2" s="245"/>
      <c r="H2" s="245"/>
      <c r="I2" s="245"/>
      <c r="J2" s="79"/>
      <c r="K2" s="79"/>
      <c r="L2" s="79"/>
    </row>
    <row r="3" spans="1:12" ht="12.75">
      <c r="A3" s="245"/>
      <c r="B3" s="245"/>
      <c r="C3" s="245"/>
      <c r="D3" s="245"/>
      <c r="E3" s="245"/>
      <c r="F3" s="245"/>
      <c r="G3" s="245"/>
      <c r="H3" s="245"/>
      <c r="I3" s="245"/>
      <c r="J3" s="79"/>
      <c r="K3" s="79"/>
      <c r="L3" s="79"/>
    </row>
    <row r="4" spans="1:12" ht="12.75">
      <c r="A4" s="245"/>
      <c r="B4" s="245"/>
      <c r="C4" s="245"/>
      <c r="D4" s="245"/>
      <c r="E4" s="245"/>
      <c r="F4" s="245"/>
      <c r="G4" s="245"/>
      <c r="H4" s="245"/>
      <c r="I4" s="245"/>
      <c r="J4" s="79"/>
      <c r="K4" s="79"/>
      <c r="L4" s="79"/>
    </row>
    <row r="5" spans="1:12" ht="20.25">
      <c r="A5" s="80" t="str">
        <f>IF(NVTable_Data_Entry!L47=1,"OSU-NFOA Winter Wheat RI Algorithm",IF(NVTable_Data_Entry!L47=2,"OSU-NFOA Spring Wheat RI Algorithm","OSU-NFOA Corn RI Algorithm"))</f>
        <v>OSU-NFOA Winter Wheat RI Algorithm</v>
      </c>
      <c r="B5" s="78"/>
      <c r="C5" s="78"/>
      <c r="D5" s="78"/>
      <c r="E5" s="78"/>
      <c r="F5" s="78"/>
      <c r="G5" s="78"/>
      <c r="H5" s="78"/>
      <c r="I5" s="78"/>
      <c r="J5" s="79"/>
      <c r="K5" s="79"/>
      <c r="L5" s="79"/>
    </row>
    <row r="6" spans="1:12" ht="13.5" thickBot="1">
      <c r="A6" s="247" t="s">
        <v>15</v>
      </c>
      <c r="B6" s="248"/>
      <c r="C6" s="248"/>
      <c r="D6" s="248"/>
      <c r="E6" s="248"/>
      <c r="F6" s="248" t="s">
        <v>9</v>
      </c>
      <c r="G6" s="248"/>
      <c r="H6" s="248"/>
      <c r="I6" s="248"/>
      <c r="J6" s="81"/>
      <c r="K6" s="81"/>
      <c r="L6" s="81"/>
    </row>
    <row r="7" spans="1:12" ht="12.75">
      <c r="A7" s="82"/>
      <c r="B7" s="83" t="s">
        <v>20</v>
      </c>
      <c r="C7" s="83" t="s">
        <v>21</v>
      </c>
      <c r="D7" s="63" t="s">
        <v>133</v>
      </c>
      <c r="E7" s="82"/>
      <c r="F7" s="82"/>
      <c r="G7" s="82"/>
      <c r="H7" s="84"/>
      <c r="I7" s="84"/>
      <c r="J7" s="82"/>
      <c r="K7" s="82"/>
      <c r="L7" s="82"/>
    </row>
    <row r="8" spans="1:12" ht="12.75">
      <c r="A8" s="82"/>
      <c r="B8" s="85">
        <f>NVTable_Data_Entry!B8</f>
        <v>0.32</v>
      </c>
      <c r="C8" s="85">
        <f>NVTable_Data_Entry!C8</f>
        <v>0.7</v>
      </c>
      <c r="D8" s="85">
        <f>NVTable_Data_Entry!D8</f>
        <v>0.8</v>
      </c>
      <c r="E8" s="82"/>
      <c r="F8" s="86">
        <f>NVTable_Data_Entry!F8</f>
        <v>0.532</v>
      </c>
      <c r="G8" s="87">
        <f>NVTable_Data_Entry!G8</f>
        <v>270.1</v>
      </c>
      <c r="H8" s="87">
        <f>NVTable_Data_Entry!H8</f>
        <v>0.0239</v>
      </c>
      <c r="I8" s="87">
        <f>NVTable_Data_Entry!I8</f>
        <v>60</v>
      </c>
      <c r="J8" s="82"/>
      <c r="K8" s="82"/>
      <c r="L8" s="82"/>
    </row>
    <row r="9" spans="1:12" ht="12.75">
      <c r="A9" s="82"/>
      <c r="B9" s="84"/>
      <c r="C9" s="84"/>
      <c r="D9" s="82"/>
      <c r="E9" s="82"/>
      <c r="F9" s="82"/>
      <c r="G9" s="82"/>
      <c r="H9" s="84"/>
      <c r="I9" s="84"/>
      <c r="J9" s="82"/>
      <c r="K9" s="82"/>
      <c r="L9" s="82"/>
    </row>
    <row r="10" spans="1:12" ht="12.75">
      <c r="A10" s="82"/>
      <c r="B10" s="91" t="s">
        <v>50</v>
      </c>
      <c r="C10" s="84"/>
      <c r="D10" s="82"/>
      <c r="E10" s="125"/>
      <c r="F10" s="82"/>
      <c r="G10" s="82"/>
      <c r="H10" s="84"/>
      <c r="I10" s="84"/>
      <c r="J10" s="82"/>
      <c r="K10" s="82"/>
      <c r="L10" s="82"/>
    </row>
    <row r="11" spans="1:12" ht="12.75">
      <c r="A11" s="82"/>
      <c r="B11" s="82"/>
      <c r="C11" s="89"/>
      <c r="D11" s="82"/>
      <c r="E11" s="126"/>
      <c r="F11" s="82"/>
      <c r="G11" s="82"/>
      <c r="H11" s="84"/>
      <c r="I11" s="84"/>
      <c r="J11" s="82"/>
      <c r="K11" s="82"/>
      <c r="L11" s="82"/>
    </row>
    <row r="12" spans="1:12" ht="12.75">
      <c r="A12" s="82"/>
      <c r="B12" s="89"/>
      <c r="C12" s="89"/>
      <c r="D12" s="82"/>
      <c r="E12" s="90"/>
      <c r="F12" s="82"/>
      <c r="G12" s="82"/>
      <c r="H12" s="84"/>
      <c r="I12" s="84"/>
      <c r="J12" s="82"/>
      <c r="K12" s="82"/>
      <c r="L12" s="82"/>
    </row>
    <row r="13" spans="1:12" ht="12.75">
      <c r="A13" s="82"/>
      <c r="B13" s="91" t="s">
        <v>22</v>
      </c>
      <c r="C13" s="89"/>
      <c r="D13" s="82"/>
      <c r="E13" s="90"/>
      <c r="F13" s="83"/>
      <c r="G13" s="84"/>
      <c r="H13" s="84"/>
      <c r="I13" s="84"/>
      <c r="J13" s="82"/>
      <c r="K13" s="82"/>
      <c r="L13" s="82"/>
    </row>
    <row r="14" spans="1:12" ht="12.75">
      <c r="A14" s="82"/>
      <c r="B14" s="92">
        <f>NVTable_Data_Entry!B14</f>
        <v>0.6</v>
      </c>
      <c r="C14" s="84" t="s">
        <v>23</v>
      </c>
      <c r="D14" s="82"/>
      <c r="E14" s="90"/>
      <c r="F14" s="82"/>
      <c r="G14" s="82"/>
      <c r="H14" s="84"/>
      <c r="I14" s="84"/>
      <c r="J14" s="82"/>
      <c r="K14" s="82"/>
      <c r="L14" s="82"/>
    </row>
    <row r="15" spans="1:12" ht="12.75">
      <c r="A15" s="93"/>
      <c r="B15" s="84"/>
      <c r="C15" s="84"/>
      <c r="D15" s="82"/>
      <c r="E15" s="82"/>
      <c r="F15" s="82"/>
      <c r="G15" s="82"/>
      <c r="H15" s="82"/>
      <c r="I15" s="84"/>
      <c r="J15" s="82"/>
      <c r="K15" s="82"/>
      <c r="L15" s="82"/>
    </row>
    <row r="16" spans="1:12" ht="12.75">
      <c r="A16" s="93"/>
      <c r="B16" s="94" t="s">
        <v>0</v>
      </c>
      <c r="C16" s="94" t="s">
        <v>2</v>
      </c>
      <c r="D16" s="82"/>
      <c r="E16" s="95" t="s">
        <v>24</v>
      </c>
      <c r="F16" s="82"/>
      <c r="G16" s="96"/>
      <c r="H16" s="82"/>
      <c r="I16" s="82"/>
      <c r="J16" s="82"/>
      <c r="K16" s="82"/>
      <c r="L16" s="82"/>
    </row>
    <row r="17" spans="1:12" ht="12.75">
      <c r="A17" s="82"/>
      <c r="B17" s="97">
        <f>C8/B8</f>
        <v>2.1875</v>
      </c>
      <c r="C17" s="85">
        <f>NVTable_Data_Entry!C17</f>
        <v>90</v>
      </c>
      <c r="D17" s="82"/>
      <c r="E17" s="98" t="str">
        <f>NVTable_Data_Entry!E17</f>
        <v>OSU</v>
      </c>
      <c r="F17" s="99"/>
      <c r="G17" s="99"/>
      <c r="H17" s="100"/>
      <c r="I17" s="82"/>
      <c r="J17" s="82"/>
      <c r="K17" s="82"/>
      <c r="L17" s="82"/>
    </row>
    <row r="18" spans="1:12" ht="12.75">
      <c r="A18" s="82"/>
      <c r="B18" s="84"/>
      <c r="C18" s="84"/>
      <c r="D18" s="82"/>
      <c r="E18" s="82"/>
      <c r="F18" s="82"/>
      <c r="G18" s="96"/>
      <c r="H18" s="82"/>
      <c r="I18" s="82"/>
      <c r="J18" s="82"/>
      <c r="K18" s="82"/>
      <c r="L18" s="82"/>
    </row>
    <row r="19" spans="1:12" ht="12.75">
      <c r="A19" s="82"/>
      <c r="B19" s="83" t="s">
        <v>13</v>
      </c>
      <c r="C19" s="91"/>
      <c r="D19" s="82"/>
      <c r="E19" s="95" t="s">
        <v>25</v>
      </c>
      <c r="F19" s="82"/>
      <c r="G19" s="83"/>
      <c r="H19" s="84"/>
      <c r="I19" s="84"/>
      <c r="J19" s="82"/>
      <c r="K19" s="82"/>
      <c r="L19" s="82"/>
    </row>
    <row r="20" spans="1:12" ht="12.75">
      <c r="A20" s="82"/>
      <c r="B20" s="85">
        <f>NVTable_Data_Entry!B20</f>
        <v>90</v>
      </c>
      <c r="C20" s="84"/>
      <c r="D20" s="82"/>
      <c r="E20" s="98" t="str">
        <f>NVTable_Data_Entry!E20</f>
        <v>JD 2520</v>
      </c>
      <c r="F20" s="101"/>
      <c r="G20" s="102"/>
      <c r="H20" s="103"/>
      <c r="I20" s="84"/>
      <c r="J20" s="82"/>
      <c r="K20" s="82"/>
      <c r="L20" s="82"/>
    </row>
    <row r="21" spans="1:12" ht="12.75">
      <c r="A21" s="82"/>
      <c r="B21" s="82"/>
      <c r="C21" s="82"/>
      <c r="D21" s="82"/>
      <c r="E21" s="82"/>
      <c r="F21" s="82"/>
      <c r="G21" s="83"/>
      <c r="H21" s="82"/>
      <c r="I21" s="84"/>
      <c r="J21" s="82"/>
      <c r="K21" s="82"/>
      <c r="L21" s="82"/>
    </row>
    <row r="22" spans="1:12" ht="13.5" thickBot="1">
      <c r="A22" s="82"/>
      <c r="B22" s="96" t="s">
        <v>53</v>
      </c>
      <c r="C22" s="96" t="s">
        <v>65</v>
      </c>
      <c r="D22" s="96" t="s">
        <v>177</v>
      </c>
      <c r="E22" s="95" t="s">
        <v>38</v>
      </c>
      <c r="F22" s="82"/>
      <c r="G22" s="96"/>
      <c r="H22" s="84"/>
      <c r="I22" s="84"/>
      <c r="J22" s="82"/>
      <c r="K22" s="82"/>
      <c r="L22" s="82"/>
    </row>
    <row r="23" spans="1:12" ht="13.5" thickBot="1">
      <c r="A23" s="82"/>
      <c r="B23" s="104" t="str">
        <f>NVTable_Data_Entry!B23</f>
        <v>n</v>
      </c>
      <c r="C23" s="130">
        <f>NVTable_Data_Entry!C23</f>
        <v>5</v>
      </c>
      <c r="D23" s="166">
        <f>PSTable_New!E26</f>
        <v>2.99</v>
      </c>
      <c r="E23" s="98" t="str">
        <f>NVTable_Data_Entry!E23</f>
        <v>testcorn</v>
      </c>
      <c r="F23" s="82"/>
      <c r="G23" s="82"/>
      <c r="H23" s="84"/>
      <c r="I23" s="84"/>
      <c r="J23" s="82"/>
      <c r="K23" s="82"/>
      <c r="L23" s="82"/>
    </row>
    <row r="24" spans="1:12" ht="12.75">
      <c r="A24" s="82"/>
      <c r="B24" s="82"/>
      <c r="C24" s="82"/>
      <c r="D24" s="82"/>
      <c r="E24" s="82"/>
      <c r="F24" s="82"/>
      <c r="G24" s="82"/>
      <c r="H24" s="84"/>
      <c r="I24" s="84"/>
      <c r="J24" s="82"/>
      <c r="K24" s="82"/>
      <c r="L24" s="82"/>
    </row>
    <row r="25" spans="1:12" ht="12.75">
      <c r="A25" s="82"/>
      <c r="B25" s="96" t="s">
        <v>54</v>
      </c>
      <c r="C25" s="96" t="s">
        <v>55</v>
      </c>
      <c r="D25" s="82"/>
      <c r="E25" s="82"/>
      <c r="F25" s="82"/>
      <c r="G25" s="82"/>
      <c r="H25" s="84"/>
      <c r="I25" s="84"/>
      <c r="J25" s="82"/>
      <c r="K25" s="82"/>
      <c r="L25" s="82"/>
    </row>
    <row r="26" spans="1:12" ht="12.75">
      <c r="A26" s="82"/>
      <c r="B26" s="104" t="str">
        <f>NVTable_Data_Entry!B26</f>
        <v>n</v>
      </c>
      <c r="C26" s="104">
        <f>NVTable_Data_Entry!C26</f>
        <v>7</v>
      </c>
      <c r="D26" s="82"/>
      <c r="E26" s="82"/>
      <c r="F26" s="82"/>
      <c r="G26" s="82"/>
      <c r="H26" s="84"/>
      <c r="I26" s="84"/>
      <c r="J26" s="82"/>
      <c r="K26" s="82"/>
      <c r="L26" s="82"/>
    </row>
    <row r="27" spans="1:12" ht="13.5" thickBot="1">
      <c r="A27" s="82"/>
      <c r="B27" s="82"/>
      <c r="C27" s="82"/>
      <c r="D27" s="82"/>
      <c r="E27" s="82"/>
      <c r="F27" s="82"/>
      <c r="G27" s="82"/>
      <c r="H27" s="84"/>
      <c r="I27" s="84"/>
      <c r="J27" s="82"/>
      <c r="K27" s="82"/>
      <c r="L27" s="82"/>
    </row>
    <row r="28" spans="1:12" ht="13.5" thickTop="1">
      <c r="A28" s="105"/>
      <c r="B28" s="105"/>
      <c r="C28" s="105"/>
      <c r="D28" s="105"/>
      <c r="E28" s="105"/>
      <c r="F28" s="105"/>
      <c r="G28" s="105"/>
      <c r="H28" s="106"/>
      <c r="I28" s="106"/>
      <c r="J28" s="105"/>
      <c r="K28" s="105"/>
      <c r="L28" s="105"/>
    </row>
    <row r="29" spans="1:12" ht="12.75">
      <c r="A29" s="107" t="s">
        <v>14</v>
      </c>
      <c r="B29" s="107"/>
      <c r="C29" s="107"/>
      <c r="D29" s="108" t="s">
        <v>18</v>
      </c>
      <c r="E29" s="107"/>
      <c r="F29" s="107"/>
      <c r="G29" s="107"/>
      <c r="H29" s="109"/>
      <c r="I29" s="109"/>
      <c r="J29" s="107"/>
      <c r="K29" s="107"/>
      <c r="L29" s="107"/>
    </row>
    <row r="30" spans="1:12" ht="12.75">
      <c r="A30" s="108" t="s">
        <v>19</v>
      </c>
      <c r="B30" s="107"/>
      <c r="C30" s="107"/>
      <c r="D30" s="108" t="s">
        <v>17</v>
      </c>
      <c r="E30" s="107"/>
      <c r="F30" s="107"/>
      <c r="G30" s="107"/>
      <c r="H30" s="109"/>
      <c r="I30" s="109"/>
      <c r="J30" s="107"/>
      <c r="K30" s="107"/>
      <c r="L30" s="107"/>
    </row>
    <row r="31" spans="1:12" ht="12.75">
      <c r="A31" s="109"/>
      <c r="B31" s="107"/>
      <c r="C31" s="107"/>
      <c r="D31" s="107"/>
      <c r="E31" s="107"/>
      <c r="F31" s="107"/>
      <c r="G31" s="107"/>
      <c r="H31" s="109"/>
      <c r="I31" s="109"/>
      <c r="J31" s="107"/>
      <c r="K31" s="107"/>
      <c r="L31" s="107"/>
    </row>
    <row r="32" spans="1:12" ht="12.75">
      <c r="A32" s="110" t="s">
        <v>41</v>
      </c>
      <c r="B32" s="107"/>
      <c r="C32" s="107"/>
      <c r="D32" s="107"/>
      <c r="E32" s="107"/>
      <c r="F32" s="107"/>
      <c r="G32" s="107"/>
      <c r="H32" s="109"/>
      <c r="I32" s="109"/>
      <c r="J32" s="107"/>
      <c r="K32" s="107"/>
      <c r="L32" s="107"/>
    </row>
    <row r="33" spans="1:12" ht="13.5" thickBot="1">
      <c r="A33" s="249" t="s">
        <v>8</v>
      </c>
      <c r="B33" s="249"/>
      <c r="C33" s="249"/>
      <c r="D33" s="249"/>
      <c r="E33" s="249"/>
      <c r="F33" s="249"/>
      <c r="G33" s="111"/>
      <c r="H33" s="249" t="s">
        <v>7</v>
      </c>
      <c r="I33" s="250"/>
      <c r="J33" s="250"/>
      <c r="K33" s="112"/>
      <c r="L33" s="112"/>
    </row>
    <row r="34" spans="1:12" ht="12.75">
      <c r="A34" s="113"/>
      <c r="B34" s="113"/>
      <c r="C34" s="114" t="s">
        <v>16</v>
      </c>
      <c r="D34" s="113"/>
      <c r="E34" s="113"/>
      <c r="F34" s="113"/>
      <c r="G34" s="114" t="s">
        <v>16</v>
      </c>
      <c r="H34" s="113"/>
      <c r="I34" s="115"/>
      <c r="J34" s="115"/>
      <c r="K34" s="115"/>
      <c r="L34" s="111"/>
    </row>
    <row r="35" spans="1:15" ht="12.75">
      <c r="A35" s="116" t="s">
        <v>6</v>
      </c>
      <c r="B35" s="116" t="s">
        <v>1</v>
      </c>
      <c r="C35" s="127" t="str">
        <f>IF(NVTable_Data_Entry!D68=1,"'ml UAN(28)/m2",IF(NVTable_Data_Entry!D68=2,"mL UAN(32)/m2","mL soln 24/m2"))</f>
        <v>'ml UAN(28)/m2</v>
      </c>
      <c r="D35" s="116" t="s">
        <v>11</v>
      </c>
      <c r="E35" s="116" t="s">
        <v>12</v>
      </c>
      <c r="F35" s="117" t="s">
        <v>40</v>
      </c>
      <c r="G35" s="116" t="s">
        <v>3</v>
      </c>
      <c r="H35" s="116" t="s">
        <v>4</v>
      </c>
      <c r="I35" s="116" t="s">
        <v>5</v>
      </c>
      <c r="J35" s="116"/>
      <c r="K35" s="116" t="s">
        <v>4</v>
      </c>
      <c r="L35" s="116" t="s">
        <v>49</v>
      </c>
      <c r="M35" s="175"/>
      <c r="N35" s="177"/>
      <c r="O35" s="111"/>
    </row>
    <row r="36" spans="1:15" ht="12.75">
      <c r="A36" s="111">
        <v>0</v>
      </c>
      <c r="B36" s="111">
        <v>0.25</v>
      </c>
      <c r="C36" s="111">
        <f>((((MIN((($F$8*EXP((((B36))/$C$17)*$G$8))*1000/1.12/$I$8*RI),$B$20)*$I$8*$H$8)-(MIN((($F$8*EXP((((B36))/$C$17)*$G$8))*1000/1.12/$I$8),$B$20)*$I$8*$H$8))*IF(NVTable_Data_Entry!$D$68=1,0.313,IF(NVTable_Data_Entry!$D$68=2,0.263,0.403))))/0.6</f>
        <v>14.892229308899728</v>
      </c>
      <c r="D36" s="111">
        <f>(B36)/$C$17</f>
        <v>0.002777777777777778</v>
      </c>
      <c r="E36" s="111">
        <f>MIN(((($F$8*EXP(D36*$G$8))*1000)/1.12/$I$8),$B$20)</f>
        <v>16.76423955135043</v>
      </c>
      <c r="F36" s="111">
        <f>MIN(E36*$B$17,$B$20)</f>
        <v>36.671774018579065</v>
      </c>
      <c r="G36" s="111">
        <f>((F36*$I$8*$H$8)-(E36*$I$8*$H$8))/$B$14</f>
        <v>47.579007376676444</v>
      </c>
      <c r="H36" s="260">
        <f>IF($B$26="y",99,0)</f>
        <v>0</v>
      </c>
      <c r="I36" s="111">
        <f>LOOKUP(H36,$K$36:$K$43,$L$36:$L$43)</f>
        <v>0</v>
      </c>
      <c r="J36" s="111"/>
      <c r="K36" s="118">
        <v>0</v>
      </c>
      <c r="L36" s="118">
        <v>0</v>
      </c>
      <c r="M36" s="176"/>
      <c r="N36" s="119"/>
      <c r="O36" s="111"/>
    </row>
    <row r="37" spans="1:15" ht="12.75">
      <c r="A37" s="111">
        <v>1</v>
      </c>
      <c r="B37" s="111">
        <v>0.26</v>
      </c>
      <c r="C37" s="111">
        <f>((((MIN((($F$8*EXP((((B37))/$C$17)*$G$8))*1000/1.12/$I$8*RI),$B$20)*$I$8*$H$8)-(MIN((($F$8*EXP((((B37))/$C$17)*$G$8))*1000/1.12/$I$8),$B$20)*$I$8*$H$8))*IF(NVTable_Data_Entry!$D$68=1,0.313,IF(NVTable_Data_Entry!$D$68=2,0.263,0.403))))/0.6</f>
        <v>15.345935721480801</v>
      </c>
      <c r="D37" s="111">
        <f aca="true" t="shared" si="0" ref="D37:D99">(B37)/$C$17</f>
        <v>0.002888888888888889</v>
      </c>
      <c r="E37" s="111">
        <f aca="true" t="shared" si="1" ref="E37:E99">MIN(((($F$8*EXP(D37*$G$8))*1000)/1.12/$I$8),$B$20)</f>
        <v>17.274978597112202</v>
      </c>
      <c r="F37" s="111">
        <f aca="true" t="shared" si="2" ref="F37:F99">MIN(E37*$B$17,$B$20)</f>
        <v>37.789015681182946</v>
      </c>
      <c r="G37" s="111">
        <f aca="true" t="shared" si="3" ref="G37:G99">((F37*$I$8*$H$8)-(E37*$I$8*$H$8))/$B$14</f>
        <v>49.02854863092908</v>
      </c>
      <c r="H37" s="111">
        <f>IF($B$26="y",0,(MAX(0,IF($B$23="y",(LOOKUP(MAX(G37-$C$23*$D$23,0)+$L$37/2,$L$36:$L$43,$K$36:$K$43)),(LOOKUP(G37+$L$37/2,$L$36:$L$43,$K$36:$K$43))))))</f>
        <v>3</v>
      </c>
      <c r="I37" s="111">
        <f aca="true" t="shared" si="4" ref="I37:I99">LOOKUP(H37,$K$36:$K$43,$L$36:$L$43)</f>
        <v>43.3384771321253</v>
      </c>
      <c r="J37" s="111"/>
      <c r="K37" s="118">
        <v>1</v>
      </c>
      <c r="L37" s="118">
        <f>vs1</f>
        <v>14.575369347832464</v>
      </c>
      <c r="M37" s="118"/>
      <c r="N37" s="111"/>
      <c r="O37" s="111"/>
    </row>
    <row r="38" spans="1:15" ht="12.75">
      <c r="A38" s="111">
        <v>2</v>
      </c>
      <c r="B38" s="111">
        <v>0.27</v>
      </c>
      <c r="C38" s="111">
        <f>((((MIN((($F$8*EXP((((B38))/$C$17)*$G$8))*1000/1.12/$I$8*RI),$B$20)*$I$8*$H$8)-(MIN((($F$8*EXP((((B38))/$C$17)*$G$8))*1000/1.12/$I$8),$B$20)*$I$8*$H$8))*IF(NVTable_Data_Entry!$D$68=1,0.313,IF(NVTable_Data_Entry!$D$68=2,0.263,0.403))))/0.6</f>
        <v>15.813464746146833</v>
      </c>
      <c r="D38" s="111">
        <f t="shared" si="0"/>
        <v>0.003</v>
      </c>
      <c r="E38" s="111">
        <f t="shared" si="1"/>
        <v>17.801277810221062</v>
      </c>
      <c r="F38" s="111">
        <f t="shared" si="2"/>
        <v>38.940295209858576</v>
      </c>
      <c r="G38" s="111">
        <f t="shared" si="3"/>
        <v>50.52225158513365</v>
      </c>
      <c r="H38" s="111">
        <f aca="true" t="shared" si="5" ref="H38:H99">IF($B$26="y",$C$26,(MAX(0,IF($B$23="y",(LOOKUP(MAX(G38-$C$23*$D$23,0)+$L$37/2,$L$36:$L$43,$K$36:$K$43)),(LOOKUP(G38+$L$37/2,$L$36:$L$43,$K$36:$K$43))))))</f>
        <v>4</v>
      </c>
      <c r="I38" s="111">
        <f t="shared" si="4"/>
        <v>57.34773521845503</v>
      </c>
      <c r="J38" s="111"/>
      <c r="K38" s="118">
        <v>2</v>
      </c>
      <c r="L38" s="118">
        <f>vs2</f>
        <v>28.763107784292856</v>
      </c>
      <c r="M38" s="118"/>
      <c r="N38" s="111"/>
      <c r="O38" s="111"/>
    </row>
    <row r="39" spans="1:15" ht="12.75">
      <c r="A39" s="111">
        <v>3</v>
      </c>
      <c r="B39" s="111">
        <v>0.28</v>
      </c>
      <c r="C39" s="111">
        <f>((((MIN((($F$8*EXP((((B39))/$C$17)*$G$8))*1000/1.12/$I$8*RI),$B$20)*$I$8*$H$8)-(MIN((($F$8*EXP((((B39))/$C$17)*$G$8))*1000/1.12/$I$8),$B$20)*$I$8*$H$8))*IF(NVTable_Data_Entry!$D$68=1,0.313,IF(NVTable_Data_Entry!$D$68=2,0.263,0.403))))/0.6</f>
        <v>16.2952375023697</v>
      </c>
      <c r="D39" s="111">
        <f t="shared" si="0"/>
        <v>0.0031111111111111114</v>
      </c>
      <c r="E39" s="111">
        <f t="shared" si="1"/>
        <v>18.34361124647885</v>
      </c>
      <c r="F39" s="111">
        <f t="shared" si="2"/>
        <v>40.12664960167248</v>
      </c>
      <c r="G39" s="111">
        <f t="shared" si="3"/>
        <v>52.061461668912784</v>
      </c>
      <c r="H39" s="111">
        <f t="shared" si="5"/>
        <v>4</v>
      </c>
      <c r="I39" s="111">
        <f t="shared" si="4"/>
        <v>57.34773521845503</v>
      </c>
      <c r="J39" s="111"/>
      <c r="K39" s="118">
        <v>3</v>
      </c>
      <c r="L39" s="118">
        <f>vs3</f>
        <v>43.3384771321253</v>
      </c>
      <c r="M39" s="118"/>
      <c r="N39" s="111"/>
      <c r="O39" s="111"/>
    </row>
    <row r="40" spans="1:15" ht="12.75">
      <c r="A40" s="111">
        <v>4</v>
      </c>
      <c r="B40" s="111">
        <v>0.29</v>
      </c>
      <c r="C40" s="111">
        <f>((((MIN((($F$8*EXP((((B40))/$C$17)*$G$8))*1000/1.12/$I$8*RI),$B$20)*$I$8*$H$8)-(MIN((($F$8*EXP((((B40))/$C$17)*$G$8))*1000/1.12/$I$8),$B$20)*$I$8*$H$8))*IF(NVTable_Data_Entry!$D$68=1,0.313,IF(NVTable_Data_Entry!$D$68=2,0.263,0.403))))/0.6</f>
        <v>16.791687939440163</v>
      </c>
      <c r="D40" s="111">
        <f t="shared" si="0"/>
        <v>0.003222222222222222</v>
      </c>
      <c r="E40" s="111">
        <f t="shared" si="1"/>
        <v>18.90246740426364</v>
      </c>
      <c r="F40" s="111">
        <f t="shared" si="2"/>
        <v>41.34914744682671</v>
      </c>
      <c r="G40" s="111">
        <f t="shared" si="3"/>
        <v>53.647565301725756</v>
      </c>
      <c r="H40" s="111">
        <f t="shared" si="5"/>
        <v>4</v>
      </c>
      <c r="I40" s="111">
        <f t="shared" si="4"/>
        <v>57.34773521845503</v>
      </c>
      <c r="J40" s="111"/>
      <c r="K40" s="118">
        <v>4</v>
      </c>
      <c r="L40" s="118">
        <f>vs4</f>
        <v>57.34773521845503</v>
      </c>
      <c r="M40" s="118"/>
      <c r="N40" s="111"/>
      <c r="O40" s="111"/>
    </row>
    <row r="41" spans="1:15" ht="12.75">
      <c r="A41" s="111">
        <v>5</v>
      </c>
      <c r="B41" s="111">
        <v>0.3</v>
      </c>
      <c r="C41" s="111">
        <f>((((MIN((($F$8*EXP((((B41))/$C$17)*$G$8))*1000/1.12/$I$8*RI),$B$20)*$I$8*$H$8)-(MIN((($F$8*EXP((((B41))/$C$17)*$G$8))*1000/1.12/$I$8),$B$20)*$I$8*$H$8))*IF(NVTable_Data_Entry!$D$68=1,0.313,IF(NVTable_Data_Entry!$D$68=2,0.263,0.403))))/0.6</f>
        <v>17.30326322734091</v>
      </c>
      <c r="D41" s="111">
        <f t="shared" si="0"/>
        <v>0.003333333333333333</v>
      </c>
      <c r="E41" s="111">
        <f t="shared" si="1"/>
        <v>19.478349664537056</v>
      </c>
      <c r="F41" s="111">
        <f t="shared" si="2"/>
        <v>42.60888989117481</v>
      </c>
      <c r="G41" s="111">
        <f t="shared" si="3"/>
        <v>55.28199114166424</v>
      </c>
      <c r="H41" s="111">
        <f t="shared" si="5"/>
        <v>4</v>
      </c>
      <c r="I41" s="111">
        <f t="shared" si="4"/>
        <v>57.34773521845503</v>
      </c>
      <c r="J41" s="111"/>
      <c r="K41" s="118">
        <v>5</v>
      </c>
      <c r="L41" s="118">
        <f>vs5</f>
        <v>71.9231045662875</v>
      </c>
      <c r="M41" s="118"/>
      <c r="N41" s="111"/>
      <c r="O41" s="111"/>
    </row>
    <row r="42" spans="1:15" ht="12.75">
      <c r="A42" s="111">
        <v>6</v>
      </c>
      <c r="B42" s="111">
        <v>0.31</v>
      </c>
      <c r="C42" s="111">
        <f>((((MIN((($F$8*EXP((((B42))/$C$17)*$G$8))*1000/1.12/$I$8*RI),$B$20)*$I$8*$H$8)-(MIN((($F$8*EXP((((B42))/$C$17)*$G$8))*1000/1.12/$I$8),$B$20)*$I$8*$H$8))*IF(NVTable_Data_Entry!$D$68=1,0.313,IF(NVTable_Data_Entry!$D$68=2,0.263,0.403))))/0.6</f>
        <v>17.830424159527954</v>
      </c>
      <c r="D42" s="111">
        <f t="shared" si="0"/>
        <v>0.0034444444444444444</v>
      </c>
      <c r="E42" s="111">
        <f t="shared" si="1"/>
        <v>20.071776744256784</v>
      </c>
      <c r="F42" s="111">
        <f t="shared" si="2"/>
        <v>43.90701162806172</v>
      </c>
      <c r="G42" s="111">
        <f t="shared" si="3"/>
        <v>56.966211372293785</v>
      </c>
      <c r="H42" s="111">
        <f t="shared" si="5"/>
        <v>4</v>
      </c>
      <c r="I42" s="111">
        <f t="shared" si="4"/>
        <v>57.34773521845503</v>
      </c>
      <c r="J42" s="111"/>
      <c r="K42" s="118">
        <v>6</v>
      </c>
      <c r="L42" s="118">
        <f>vs6</f>
        <v>86.11084300274787</v>
      </c>
      <c r="M42" s="118"/>
      <c r="N42" s="111"/>
      <c r="O42" s="111"/>
    </row>
    <row r="43" spans="1:15" ht="12.75">
      <c r="A43" s="111">
        <v>7</v>
      </c>
      <c r="B43" s="111">
        <v>0.32</v>
      </c>
      <c r="C43" s="111">
        <f>((((MIN((($F$8*EXP((((B43))/$C$17)*$G$8))*1000/1.12/$I$8*RI),$B$20)*$I$8*$H$8)-(MIN((($F$8*EXP((((B43))/$C$17)*$G$8))*1000/1.12/$I$8),$B$20)*$I$8*$H$8))*IF(NVTable_Data_Entry!$D$68=1,0.313,IF(NVTable_Data_Entry!$D$68=2,0.263,0.403))))/0.6</f>
        <v>18.373645567983147</v>
      </c>
      <c r="D43" s="111">
        <f t="shared" si="0"/>
        <v>0.0035555555555555557</v>
      </c>
      <c r="E43" s="111">
        <f t="shared" si="1"/>
        <v>20.683283163602788</v>
      </c>
      <c r="F43" s="111">
        <f t="shared" si="2"/>
        <v>45.2446819203811</v>
      </c>
      <c r="G43" s="111">
        <f t="shared" si="3"/>
        <v>58.70174302870015</v>
      </c>
      <c r="H43" s="111">
        <f t="shared" si="5"/>
        <v>4</v>
      </c>
      <c r="I43" s="111">
        <f t="shared" si="4"/>
        <v>57.34773521845503</v>
      </c>
      <c r="J43" s="111"/>
      <c r="K43" s="118">
        <v>7</v>
      </c>
      <c r="L43" s="118">
        <f>vs7</f>
        <v>100.68621235058032</v>
      </c>
      <c r="M43" s="118"/>
      <c r="N43" s="111"/>
      <c r="O43" s="111"/>
    </row>
    <row r="44" spans="1:15" ht="12.75">
      <c r="A44" s="111">
        <v>8</v>
      </c>
      <c r="B44" s="111">
        <v>0.33</v>
      </c>
      <c r="C44" s="111">
        <f>((((MIN((($F$8*EXP((((B44))/$C$17)*$G$8))*1000/1.12/$I$8*RI),$B$20)*$I$8*$H$8)-(MIN((($F$8*EXP((((B44))/$C$17)*$G$8))*1000/1.12/$I$8),$B$20)*$I$8*$H$8))*IF(NVTable_Data_Entry!$D$68=1,0.313,IF(NVTable_Data_Entry!$D$68=2,0.263,0.403))))/0.6</f>
        <v>18.933416750911686</v>
      </c>
      <c r="D44" s="111">
        <f t="shared" si="0"/>
        <v>0.003666666666666667</v>
      </c>
      <c r="E44" s="111">
        <f t="shared" si="1"/>
        <v>21.313419727438045</v>
      </c>
      <c r="F44" s="111">
        <f t="shared" si="2"/>
        <v>46.62310565377072</v>
      </c>
      <c r="G44" s="111">
        <f t="shared" si="3"/>
        <v>60.490149363935096</v>
      </c>
      <c r="H44" s="111">
        <f t="shared" si="5"/>
        <v>4</v>
      </c>
      <c r="I44" s="111">
        <f t="shared" si="4"/>
        <v>57.34773521845503</v>
      </c>
      <c r="J44" s="111"/>
      <c r="K44" s="111"/>
      <c r="L44" s="119"/>
      <c r="M44" s="111"/>
      <c r="N44" s="111"/>
      <c r="O44" s="111"/>
    </row>
    <row r="45" spans="1:15" ht="12.75">
      <c r="A45" s="111">
        <v>9</v>
      </c>
      <c r="B45" s="111">
        <v>0.34</v>
      </c>
      <c r="C45" s="111">
        <f>((((MIN((($F$8*EXP((((B45))/$C$17)*$G$8))*1000/1.12/$I$8*RI),$B$20)*$I$8*$H$8)-(MIN((($F$8*EXP((((B45))/$C$17)*$G$8))*1000/1.12/$I$8),$B$20)*$I$8*$H$8))*IF(NVTable_Data_Entry!$D$68=1,0.313,IF(NVTable_Data_Entry!$D$68=2,0.263,0.403))))/0.6</f>
        <v>19.510241913469788</v>
      </c>
      <c r="D45" s="111">
        <f t="shared" si="0"/>
        <v>0.003777777777777778</v>
      </c>
      <c r="E45" s="111">
        <f t="shared" si="1"/>
        <v>21.96275402143738</v>
      </c>
      <c r="F45" s="111">
        <f t="shared" si="2"/>
        <v>48.04352442189427</v>
      </c>
      <c r="G45" s="111">
        <f t="shared" si="3"/>
        <v>62.33304125709196</v>
      </c>
      <c r="H45" s="111">
        <f t="shared" si="5"/>
        <v>4</v>
      </c>
      <c r="I45" s="111">
        <f t="shared" si="4"/>
        <v>57.34773521845503</v>
      </c>
      <c r="J45" s="111"/>
      <c r="K45" s="111"/>
      <c r="L45" s="119"/>
      <c r="M45" s="111"/>
      <c r="N45" s="111"/>
      <c r="O45" s="111"/>
    </row>
    <row r="46" spans="1:15" ht="12.75">
      <c r="A46" s="111">
        <v>10</v>
      </c>
      <c r="B46" s="111">
        <v>0.35</v>
      </c>
      <c r="C46" s="111">
        <f>((((MIN((($F$8*EXP((((B46))/$C$17)*$G$8))*1000/1.12/$I$8*RI),$B$20)*$I$8*$H$8)-(MIN((($F$8*EXP((((B46))/$C$17)*$G$8))*1000/1.12/$I$8),$B$20)*$I$8*$H$8))*IF(NVTable_Data_Entry!$D$68=1,0.313,IF(NVTable_Data_Entry!$D$68=2,0.263,0.403))))/0.6</f>
        <v>20.104640621919668</v>
      </c>
      <c r="D46" s="111">
        <f t="shared" si="0"/>
        <v>0.0038888888888888888</v>
      </c>
      <c r="E46" s="111">
        <f t="shared" si="1"/>
        <v>22.631870923331448</v>
      </c>
      <c r="F46" s="111">
        <f t="shared" si="2"/>
        <v>49.507217644787545</v>
      </c>
      <c r="G46" s="111">
        <f t="shared" si="3"/>
        <v>64.23207866428008</v>
      </c>
      <c r="H46" s="111">
        <f t="shared" si="5"/>
        <v>4</v>
      </c>
      <c r="I46" s="111">
        <f t="shared" si="4"/>
        <v>57.34773521845503</v>
      </c>
      <c r="J46" s="111"/>
      <c r="K46" s="111"/>
      <c r="L46" s="119"/>
      <c r="M46" s="111"/>
      <c r="N46" s="111"/>
      <c r="O46" s="111"/>
    </row>
    <row r="47" spans="1:15" ht="12.75">
      <c r="A47" s="111">
        <v>11</v>
      </c>
      <c r="B47" s="111">
        <v>0.36</v>
      </c>
      <c r="C47" s="111">
        <f>((((MIN((($F$8*EXP((((B47))/$C$17)*$G$8))*1000/1.12/$I$8*RI),$B$20)*$I$8*$H$8)-(MIN((($F$8*EXP((((B47))/$C$17)*$G$8))*1000/1.12/$I$8),$B$20)*$I$8*$H$8))*IF(NVTable_Data_Entry!$D$68=1,0.313,IF(NVTable_Data_Entry!$D$68=2,0.263,0.403))))/0.6</f>
        <v>20.717148271620683</v>
      </c>
      <c r="D47" s="111">
        <f t="shared" si="0"/>
        <v>0.004</v>
      </c>
      <c r="E47" s="111">
        <f t="shared" si="1"/>
        <v>23.321373129726172</v>
      </c>
      <c r="F47" s="111">
        <f t="shared" si="2"/>
        <v>51.015503721276005</v>
      </c>
      <c r="G47" s="111">
        <f t="shared" si="3"/>
        <v>66.18897211380411</v>
      </c>
      <c r="H47" s="111">
        <f t="shared" si="5"/>
        <v>5</v>
      </c>
      <c r="I47" s="111">
        <f t="shared" si="4"/>
        <v>71.9231045662875</v>
      </c>
      <c r="J47" s="111"/>
      <c r="K47" s="111"/>
      <c r="L47" s="119"/>
      <c r="M47" s="111"/>
      <c r="N47" s="111"/>
      <c r="O47" s="111"/>
    </row>
    <row r="48" spans="1:15" ht="12.75">
      <c r="A48" s="111">
        <v>12</v>
      </c>
      <c r="B48" s="111">
        <v>0.37</v>
      </c>
      <c r="C48" s="111">
        <f>((((MIN((($F$8*EXP((((B48))/$C$17)*$G$8))*1000/1.12/$I$8*RI),$B$20)*$I$8*$H$8)-(MIN((($F$8*EXP((((B48))/$C$17)*$G$8))*1000/1.12/$I$8),$B$20)*$I$8*$H$8))*IF(NVTable_Data_Entry!$D$68=1,0.313,IF(NVTable_Data_Entry!$D$68=2,0.263,0.403))))/0.6</f>
        <v>21.348316569278445</v>
      </c>
      <c r="D48" s="111">
        <f t="shared" si="0"/>
        <v>0.004111111111111111</v>
      </c>
      <c r="E48" s="111">
        <f t="shared" si="1"/>
        <v>24.03188169897238</v>
      </c>
      <c r="F48" s="111">
        <f t="shared" si="2"/>
        <v>52.56974121650208</v>
      </c>
      <c r="G48" s="111">
        <f t="shared" si="3"/>
        <v>68.20548424689599</v>
      </c>
      <c r="H48" s="111">
        <f t="shared" si="5"/>
        <v>5</v>
      </c>
      <c r="I48" s="111">
        <f t="shared" si="4"/>
        <v>71.9231045662875</v>
      </c>
      <c r="J48" s="111"/>
      <c r="L48" s="119"/>
      <c r="M48" s="111"/>
      <c r="N48" s="111"/>
      <c r="O48" s="111"/>
    </row>
    <row r="49" spans="1:15" ht="12.75">
      <c r="A49" s="111">
        <v>13</v>
      </c>
      <c r="B49" s="111">
        <v>0.38</v>
      </c>
      <c r="C49" s="111">
        <f>((((MIN((($F$8*EXP((((B49))/$C$17)*$G$8))*1000/1.12/$I$8*RI),$B$20)*$I$8*$H$8)-(MIN((($F$8*EXP((((B49))/$C$17)*$G$8))*1000/1.12/$I$8),$B$20)*$I$8*$H$8))*IF(NVTable_Data_Entry!$D$68=1,0.313,IF(NVTable_Data_Entry!$D$68=2,0.263,0.403))))/0.6</f>
        <v>21.998714029885914</v>
      </c>
      <c r="D49" s="111">
        <f t="shared" si="0"/>
        <v>0.004222222222222223</v>
      </c>
      <c r="E49" s="111">
        <f t="shared" si="1"/>
        <v>24.764036610574337</v>
      </c>
      <c r="F49" s="111">
        <f t="shared" si="2"/>
        <v>54.17133008563136</v>
      </c>
      <c r="G49" s="111">
        <f t="shared" si="3"/>
        <v>70.28343140538631</v>
      </c>
      <c r="H49" s="111">
        <f t="shared" si="5"/>
        <v>5</v>
      </c>
      <c r="I49" s="111">
        <f t="shared" si="4"/>
        <v>71.9231045662875</v>
      </c>
      <c r="J49" s="111"/>
      <c r="K49" s="111"/>
      <c r="L49" s="111"/>
      <c r="M49" s="119"/>
      <c r="N49" s="111"/>
      <c r="O49" s="111"/>
    </row>
    <row r="50" spans="1:15" ht="12.75">
      <c r="A50" s="111">
        <v>14</v>
      </c>
      <c r="B50" s="111">
        <v>0.39</v>
      </c>
      <c r="C50" s="111">
        <f>((((MIN((($F$8*EXP((((B50))/$C$17)*$G$8))*1000/1.12/$I$8*RI),$B$20)*$I$8*$H$8)-(MIN((($F$8*EXP((((B50))/$C$17)*$G$8))*1000/1.12/$I$8),$B$20)*$I$8*$H$8))*IF(NVTable_Data_Entry!$D$68=1,0.313,IF(NVTable_Data_Entry!$D$68=2,0.263,0.403))))/0.6</f>
        <v>22.668926488804455</v>
      </c>
      <c r="D50" s="111">
        <f t="shared" si="0"/>
        <v>0.004333333333333333</v>
      </c>
      <c r="E50" s="111">
        <f t="shared" si="1"/>
        <v>25.518497341641346</v>
      </c>
      <c r="F50" s="111">
        <f t="shared" si="2"/>
        <v>55.82171293484045</v>
      </c>
      <c r="G50" s="111">
        <f t="shared" si="3"/>
        <v>72.42468526774586</v>
      </c>
      <c r="H50" s="111">
        <f t="shared" si="5"/>
        <v>5</v>
      </c>
      <c r="I50" s="111">
        <f t="shared" si="4"/>
        <v>71.9231045662875</v>
      </c>
      <c r="J50" s="111"/>
      <c r="K50" s="111" t="s">
        <v>10</v>
      </c>
      <c r="L50" s="111"/>
      <c r="M50" s="111"/>
      <c r="N50" s="111"/>
      <c r="O50" s="111"/>
    </row>
    <row r="51" spans="1:15" ht="12.75">
      <c r="A51" s="111">
        <v>15</v>
      </c>
      <c r="B51" s="111">
        <v>0.4</v>
      </c>
      <c r="C51" s="111">
        <f>((((MIN((($F$8*EXP((((B51))/$C$17)*$G$8))*1000/1.12/$I$8*RI),$B$20)*$I$8*$H$8)-(MIN((($F$8*EXP((((B51))/$C$17)*$G$8))*1000/1.12/$I$8),$B$20)*$I$8*$H$8))*IF(NVTable_Data_Entry!$D$68=1,0.313,IF(NVTable_Data_Entry!$D$68=2,0.263,0.403))))/0.6</f>
        <v>23.35955762944591</v>
      </c>
      <c r="D51" s="111">
        <f t="shared" si="0"/>
        <v>0.0044444444444444444</v>
      </c>
      <c r="E51" s="111">
        <f t="shared" si="1"/>
        <v>26.29594346090146</v>
      </c>
      <c r="F51" s="111">
        <f t="shared" si="2"/>
        <v>57.52237632072194</v>
      </c>
      <c r="G51" s="111">
        <f t="shared" si="3"/>
        <v>74.63117453497095</v>
      </c>
      <c r="H51" s="111">
        <f t="shared" si="5"/>
        <v>5</v>
      </c>
      <c r="I51" s="111">
        <f t="shared" si="4"/>
        <v>71.9231045662875</v>
      </c>
      <c r="J51" s="111"/>
      <c r="K51" s="111"/>
      <c r="L51" s="111"/>
      <c r="M51" s="111"/>
      <c r="N51" s="111"/>
      <c r="O51" s="111"/>
    </row>
    <row r="52" spans="1:15" ht="12.75">
      <c r="A52" s="111">
        <v>16</v>
      </c>
      <c r="B52" s="111">
        <v>0.41</v>
      </c>
      <c r="C52" s="111">
        <f>((((MIN((($F$8*EXP((((B52))/$C$17)*$G$8))*1000/1.12/$I$8*RI),$B$20)*$I$8*$H$8)-(MIN((($F$8*EXP((((B52))/$C$17)*$G$8))*1000/1.12/$I$8),$B$20)*$I$8*$H$8))*IF(NVTable_Data_Entry!$D$68=1,0.313,IF(NVTable_Data_Entry!$D$68=2,0.263,0.403))))/0.6</f>
        <v>24.07122952703099</v>
      </c>
      <c r="D52" s="111">
        <f t="shared" si="0"/>
        <v>0.004555555555555555</v>
      </c>
      <c r="E52" s="111">
        <f t="shared" si="1"/>
        <v>27.09707524081237</v>
      </c>
      <c r="F52" s="111">
        <f t="shared" si="2"/>
        <v>59.27485208927706</v>
      </c>
      <c r="G52" s="111">
        <f t="shared" si="3"/>
        <v>76.90488666783064</v>
      </c>
      <c r="H52" s="111">
        <f t="shared" si="5"/>
        <v>5</v>
      </c>
      <c r="I52" s="111">
        <f t="shared" si="4"/>
        <v>71.9231045662875</v>
      </c>
      <c r="J52" s="111"/>
      <c r="K52" s="111"/>
      <c r="L52" s="111"/>
      <c r="M52" s="111"/>
      <c r="N52" s="111"/>
      <c r="O52" s="111"/>
    </row>
    <row r="53" spans="1:15" ht="12.75">
      <c r="A53" s="111">
        <v>17</v>
      </c>
      <c r="B53" s="111">
        <v>0.42</v>
      </c>
      <c r="C53" s="111">
        <f>((((MIN((($F$8*EXP((((B53))/$C$17)*$G$8))*1000/1.12/$I$8*RI),$B$20)*$I$8*$H$8)-(MIN((($F$8*EXP((((B53))/$C$17)*$G$8))*1000/1.12/$I$8),$B$20)*$I$8*$H$8))*IF(NVTable_Data_Entry!$D$68=1,0.313,IF(NVTable_Data_Entry!$D$68=2,0.263,0.403))))/0.6</f>
        <v>24.804583208913808</v>
      </c>
      <c r="D53" s="111">
        <f t="shared" si="0"/>
        <v>0.004666666666666666</v>
      </c>
      <c r="E53" s="111">
        <f t="shared" si="1"/>
        <v>27.922614288320954</v>
      </c>
      <c r="F53" s="111">
        <f t="shared" si="2"/>
        <v>61.08071875570209</v>
      </c>
      <c r="G53" s="111">
        <f t="shared" si="3"/>
        <v>79.24786967704092</v>
      </c>
      <c r="H53" s="111">
        <f t="shared" si="5"/>
        <v>6</v>
      </c>
      <c r="I53" s="111">
        <f t="shared" si="4"/>
        <v>86.11084300274787</v>
      </c>
      <c r="J53" s="111"/>
      <c r="K53" s="111"/>
      <c r="L53" s="111"/>
      <c r="M53" s="111"/>
      <c r="N53" s="111"/>
      <c r="O53" s="111"/>
    </row>
    <row r="54" spans="1:15" ht="12.75">
      <c r="A54" s="111">
        <v>18</v>
      </c>
      <c r="B54" s="111">
        <v>0.43</v>
      </c>
      <c r="C54" s="111">
        <f>((((MIN((($F$8*EXP((((B54))/$C$17)*$G$8))*1000/1.12/$I$8*RI),$B$20)*$I$8*$H$8)-(MIN((($F$8*EXP((((B54))/$C$17)*$G$8))*1000/1.12/$I$8),$B$20)*$I$8*$H$8))*IF(NVTable_Data_Entry!$D$68=1,0.313,IF(NVTable_Data_Entry!$D$68=2,0.263,0.403))))/0.6</f>
        <v>25.56027923197729</v>
      </c>
      <c r="D54" s="111">
        <f t="shared" si="0"/>
        <v>0.0047777777777777775</v>
      </c>
      <c r="E54" s="111">
        <f t="shared" si="1"/>
        <v>28.773304194839397</v>
      </c>
      <c r="F54" s="111">
        <f t="shared" si="2"/>
        <v>62.94160292621118</v>
      </c>
      <c r="G54" s="111">
        <f t="shared" si="3"/>
        <v>81.66223396797857</v>
      </c>
      <c r="H54" s="111">
        <f t="shared" si="5"/>
        <v>6</v>
      </c>
      <c r="I54" s="111">
        <f t="shared" si="4"/>
        <v>86.11084300274787</v>
      </c>
      <c r="J54" s="111"/>
      <c r="K54" s="111"/>
      <c r="L54" s="111"/>
      <c r="M54" s="111"/>
      <c r="N54" s="111"/>
      <c r="O54" s="111"/>
    </row>
    <row r="55" spans="1:15" ht="12.75">
      <c r="A55" s="111">
        <v>19</v>
      </c>
      <c r="B55" s="111">
        <v>0.44</v>
      </c>
      <c r="C55" s="111">
        <f>((((MIN((($F$8*EXP((((B55))/$C$17)*$G$8))*1000/1.12/$I$8*RI),$B$20)*$I$8*$H$8)-(MIN((($F$8*EXP((((B55))/$C$17)*$G$8))*1000/1.12/$I$8),$B$20)*$I$8*$H$8))*IF(NVTable_Data_Entry!$D$68=1,0.313,IF(NVTable_Data_Entry!$D$68=2,0.263,0.403))))/0.6</f>
        <v>26.33899827761947</v>
      </c>
      <c r="D55" s="111">
        <f t="shared" si="0"/>
        <v>0.004888888888888889</v>
      </c>
      <c r="E55" s="111">
        <f t="shared" si="1"/>
        <v>29.649911206023614</v>
      </c>
      <c r="F55" s="111">
        <f t="shared" si="2"/>
        <v>64.85918076317665</v>
      </c>
      <c r="G55" s="111">
        <f t="shared" si="3"/>
        <v>84.15015424159576</v>
      </c>
      <c r="H55" s="111">
        <f t="shared" si="5"/>
        <v>6</v>
      </c>
      <c r="I55" s="111">
        <f t="shared" si="4"/>
        <v>86.11084300274787</v>
      </c>
      <c r="J55" s="111"/>
      <c r="K55" s="111"/>
      <c r="L55" s="111"/>
      <c r="M55" s="111"/>
      <c r="N55" s="111"/>
      <c r="O55" s="111"/>
    </row>
    <row r="56" spans="1:15" ht="12.75">
      <c r="A56" s="111">
        <v>20</v>
      </c>
      <c r="B56" s="111">
        <v>0.45</v>
      </c>
      <c r="C56" s="111">
        <f>((((MIN((($F$8*EXP((((B56))/$C$17)*$G$8))*1000/1.12/$I$8*RI),$B$20)*$I$8*$H$8)-(MIN((($F$8*EXP((((B56))/$C$17)*$G$8))*1000/1.12/$I$8),$B$20)*$I$8*$H$8))*IF(NVTable_Data_Entry!$D$68=1,0.313,IF(NVTable_Data_Entry!$D$68=2,0.263,0.403))))/0.6</f>
        <v>27.14144176486664</v>
      </c>
      <c r="D56" s="111">
        <f t="shared" si="0"/>
        <v>0.005</v>
      </c>
      <c r="E56" s="111">
        <f t="shared" si="1"/>
        <v>30.553224911957027</v>
      </c>
      <c r="F56" s="111">
        <f t="shared" si="2"/>
        <v>66.835179494906</v>
      </c>
      <c r="G56" s="111">
        <f t="shared" si="3"/>
        <v>86.71387145324805</v>
      </c>
      <c r="H56" s="111">
        <f t="shared" si="5"/>
        <v>6</v>
      </c>
      <c r="I56" s="111">
        <f t="shared" si="4"/>
        <v>86.11084300274787</v>
      </c>
      <c r="J56" s="111"/>
      <c r="K56" s="111"/>
      <c r="L56" s="111"/>
      <c r="M56" s="111"/>
      <c r="N56" s="111"/>
      <c r="O56" s="111"/>
    </row>
    <row r="57" spans="1:15" ht="12.75">
      <c r="A57" s="111">
        <v>21</v>
      </c>
      <c r="B57" s="111">
        <v>0.46</v>
      </c>
      <c r="C57" s="111">
        <f>((((MIN((($F$8*EXP((((B57))/$C$17)*$G$8))*1000/1.12/$I$8*RI),$B$20)*$I$8*$H$8)-(MIN((($F$8*EXP((((B57))/$C$17)*$G$8))*1000/1.12/$I$8),$B$20)*$I$8*$H$8))*IF(NVTable_Data_Entry!$D$68=1,0.313,IF(NVTable_Data_Entry!$D$68=2,0.263,0.403))))/0.6</f>
        <v>27.968332482165525</v>
      </c>
      <c r="D57" s="111">
        <f t="shared" si="0"/>
        <v>0.005111111111111111</v>
      </c>
      <c r="E57" s="111">
        <f t="shared" si="1"/>
        <v>31.48405895836152</v>
      </c>
      <c r="F57" s="111">
        <f t="shared" si="2"/>
        <v>68.87137897141582</v>
      </c>
      <c r="G57" s="111">
        <f t="shared" si="3"/>
        <v>89.35569483119977</v>
      </c>
      <c r="H57" s="111">
        <f t="shared" si="5"/>
        <v>6</v>
      </c>
      <c r="I57" s="111">
        <f t="shared" si="4"/>
        <v>86.11084300274787</v>
      </c>
      <c r="J57" s="111"/>
      <c r="K57" s="111"/>
      <c r="L57" s="111"/>
      <c r="M57" s="111"/>
      <c r="N57" s="111"/>
      <c r="O57" s="111"/>
    </row>
    <row r="58" spans="1:15" ht="12.75">
      <c r="A58" s="111">
        <v>22</v>
      </c>
      <c r="B58" s="111">
        <v>0.47</v>
      </c>
      <c r="C58" s="111">
        <f>((((MIN((($F$8*EXP((((B58))/$C$17)*$G$8))*1000/1.12/$I$8*RI),$B$20)*$I$8*$H$8)-(MIN((($F$8*EXP((((B58))/$C$17)*$G$8))*1000/1.12/$I$8),$B$20)*$I$8*$H$8))*IF(NVTable_Data_Entry!$D$68=1,0.313,IF(NVTable_Data_Entry!$D$68=2,0.263,0.403))))/0.6</f>
        <v>28.820415238423845</v>
      </c>
      <c r="D58" s="111">
        <f t="shared" si="0"/>
        <v>0.005222222222222222</v>
      </c>
      <c r="E58" s="111">
        <f t="shared" si="1"/>
        <v>32.44325177947613</v>
      </c>
      <c r="F58" s="111">
        <f t="shared" si="2"/>
        <v>70.96961326760403</v>
      </c>
      <c r="G58" s="111">
        <f t="shared" si="3"/>
        <v>92.07800395662571</v>
      </c>
      <c r="H58" s="111">
        <f t="shared" si="5"/>
        <v>6</v>
      </c>
      <c r="I58" s="111">
        <f t="shared" si="4"/>
        <v>86.11084300274787</v>
      </c>
      <c r="J58" s="111"/>
      <c r="K58" s="111"/>
      <c r="L58" s="111"/>
      <c r="M58" s="111"/>
      <c r="N58" s="111"/>
      <c r="O58" s="111"/>
    </row>
    <row r="59" spans="1:15" ht="12.75">
      <c r="A59" s="111">
        <v>23</v>
      </c>
      <c r="B59" s="111">
        <v>0.48</v>
      </c>
      <c r="C59" s="111">
        <f>((((MIN((($F$8*EXP((((B59))/$C$17)*$G$8))*1000/1.12/$I$8*RI),$B$20)*$I$8*$H$8)-(MIN((($F$8*EXP((((B59))/$C$17)*$G$8))*1000/1.12/$I$8),$B$20)*$I$8*$H$8))*IF(NVTable_Data_Entry!$D$68=1,0.313,IF(NVTable_Data_Entry!$D$68=2,0.263,0.403))))/0.6</f>
        <v>29.698457533885154</v>
      </c>
      <c r="D59" s="111">
        <f t="shared" si="0"/>
        <v>0.005333333333333333</v>
      </c>
      <c r="E59" s="111">
        <f t="shared" si="1"/>
        <v>33.431667353263606</v>
      </c>
      <c r="F59" s="111">
        <f t="shared" si="2"/>
        <v>73.13177233526415</v>
      </c>
      <c r="G59" s="111">
        <f t="shared" si="3"/>
        <v>94.88325090698132</v>
      </c>
      <c r="H59" s="111">
        <f t="shared" si="5"/>
        <v>7</v>
      </c>
      <c r="I59" s="111">
        <f t="shared" si="4"/>
        <v>100.68621235058032</v>
      </c>
      <c r="J59" s="111"/>
      <c r="K59" s="111"/>
      <c r="L59" s="111"/>
      <c r="M59" s="111"/>
      <c r="N59" s="111"/>
      <c r="O59" s="111"/>
    </row>
    <row r="60" spans="1:15" ht="12.75">
      <c r="A60" s="111">
        <v>24</v>
      </c>
      <c r="B60" s="111">
        <v>0.49</v>
      </c>
      <c r="C60" s="111">
        <f>((((MIN((($F$8*EXP((((B60))/$C$17)*$G$8))*1000/1.12/$I$8*RI),$B$20)*$I$8*$H$8)-(MIN((($F$8*EXP((((B60))/$C$17)*$G$8))*1000/1.12/$I$8),$B$20)*$I$8*$H$8))*IF(NVTable_Data_Entry!$D$68=1,0.313,IF(NVTable_Data_Entry!$D$68=2,0.263,0.403))))/0.6</f>
        <v>30.603250251442745</v>
      </c>
      <c r="D60" s="111">
        <f t="shared" si="0"/>
        <v>0.0054444444444444445</v>
      </c>
      <c r="E60" s="111">
        <f t="shared" si="1"/>
        <v>34.450195979625036</v>
      </c>
      <c r="F60" s="111">
        <f t="shared" si="2"/>
        <v>75.35980370542977</v>
      </c>
      <c r="G60" s="111">
        <f t="shared" si="3"/>
        <v>97.7739624646733</v>
      </c>
      <c r="H60" s="111">
        <f t="shared" si="5"/>
        <v>7</v>
      </c>
      <c r="I60" s="111">
        <f t="shared" si="4"/>
        <v>100.68621235058032</v>
      </c>
      <c r="J60" s="111"/>
      <c r="K60" s="111"/>
      <c r="L60" s="111"/>
      <c r="M60" s="111"/>
      <c r="N60" s="111"/>
      <c r="O60" s="111"/>
    </row>
    <row r="61" spans="1:15" ht="12.75">
      <c r="A61" s="111">
        <v>25</v>
      </c>
      <c r="B61" s="111">
        <v>0.5</v>
      </c>
      <c r="C61" s="111">
        <f>((((MIN((($F$8*EXP((((B61))/$C$17)*$G$8))*1000/1.12/$I$8*RI),$B$20)*$I$8*$H$8)-(MIN((($F$8*EXP((((B61))/$C$17)*$G$8))*1000/1.12/$I$8),$B$20)*$I$8*$H$8))*IF(NVTable_Data_Entry!$D$68=1,0.313,IF(NVTable_Data_Entry!$D$68=2,0.263,0.403))))/0.6</f>
        <v>31.5356083690152</v>
      </c>
      <c r="D61" s="111">
        <f t="shared" si="0"/>
        <v>0.005555555555555556</v>
      </c>
      <c r="E61" s="111">
        <f t="shared" si="1"/>
        <v>35.49975508232364</v>
      </c>
      <c r="F61" s="111">
        <f t="shared" si="2"/>
        <v>77.65571424258296</v>
      </c>
      <c r="G61" s="111">
        <f t="shared" si="3"/>
        <v>100.75274239301982</v>
      </c>
      <c r="H61" s="111">
        <f t="shared" si="5"/>
        <v>7</v>
      </c>
      <c r="I61" s="111">
        <f t="shared" si="4"/>
        <v>100.68621235058032</v>
      </c>
      <c r="J61" s="111"/>
      <c r="K61" s="111"/>
      <c r="L61" s="111"/>
      <c r="M61" s="111"/>
      <c r="N61" s="111"/>
      <c r="O61" s="111"/>
    </row>
    <row r="62" spans="1:15" ht="12.75">
      <c r="A62" s="111">
        <v>26</v>
      </c>
      <c r="B62" s="111">
        <v>0.51</v>
      </c>
      <c r="C62" s="111">
        <f>((((MIN((($F$8*EXP((((B62))/$C$17)*$G$8))*1000/1.12/$I$8*RI),$B$20)*$I$8*$H$8)-(MIN((($F$8*EXP((((B62))/$C$17)*$G$8))*1000/1.12/$I$8),$B$20)*$I$8*$H$8))*IF(NVTable_Data_Entry!$D$68=1,0.313,IF(NVTable_Data_Entry!$D$68=2,0.263,0.403))))/0.6</f>
        <v>32.49637169362482</v>
      </c>
      <c r="D62" s="111">
        <f t="shared" si="0"/>
        <v>0.005666666666666667</v>
      </c>
      <c r="E62" s="111">
        <f t="shared" si="1"/>
        <v>36.58129003533987</v>
      </c>
      <c r="F62" s="111">
        <f t="shared" si="2"/>
        <v>80.02157195230596</v>
      </c>
      <c r="G62" s="111">
        <f t="shared" si="3"/>
        <v>103.82227378154897</v>
      </c>
      <c r="H62" s="111">
        <f t="shared" si="5"/>
        <v>7</v>
      </c>
      <c r="I62" s="111">
        <f t="shared" si="4"/>
        <v>100.68621235058032</v>
      </c>
      <c r="J62" s="111"/>
      <c r="K62" s="111"/>
      <c r="L62" s="111"/>
      <c r="M62" s="111"/>
      <c r="N62" s="111"/>
      <c r="O62" s="111"/>
    </row>
    <row r="63" spans="1:15" ht="12.75">
      <c r="A63" s="111">
        <v>27</v>
      </c>
      <c r="B63" s="111">
        <v>0.52</v>
      </c>
      <c r="C63" s="111">
        <f>((((MIN((($F$8*EXP((((B63))/$C$17)*$G$8))*1000/1.12/$I$8*RI),$B$20)*$I$8*$H$8)-(MIN((($F$8*EXP((((B63))/$C$17)*$G$8))*1000/1.12/$I$8),$B$20)*$I$8*$H$8))*IF(NVTable_Data_Entry!$D$68=1,0.313,IF(NVTable_Data_Entry!$D$68=2,0.263,0.403))))/0.6</f>
        <v>33.48640561784091</v>
      </c>
      <c r="D63" s="111">
        <f t="shared" si="0"/>
        <v>0.005777777777777778</v>
      </c>
      <c r="E63" s="111">
        <f t="shared" si="1"/>
        <v>37.695775014402294</v>
      </c>
      <c r="F63" s="111">
        <f t="shared" si="2"/>
        <v>82.45950784400502</v>
      </c>
      <c r="G63" s="111">
        <f t="shared" si="3"/>
        <v>106.98532146275052</v>
      </c>
      <c r="H63" s="111">
        <f t="shared" si="5"/>
        <v>7</v>
      </c>
      <c r="I63" s="111">
        <f t="shared" si="4"/>
        <v>100.68621235058032</v>
      </c>
      <c r="J63" s="111"/>
      <c r="K63" s="111"/>
      <c r="L63" s="111"/>
      <c r="M63" s="111"/>
      <c r="N63" s="111"/>
      <c r="O63" s="111"/>
    </row>
    <row r="64" spans="1:15" ht="12.75">
      <c r="A64" s="111">
        <v>28</v>
      </c>
      <c r="B64" s="111">
        <v>0.53</v>
      </c>
      <c r="C64" s="111">
        <f>((((MIN((($F$8*EXP((((B64))/$C$17)*$G$8))*1000/1.12/$I$8*RI),$B$20)*$I$8*$H$8)-(MIN((($F$8*EXP((((B64))/$C$17)*$G$8))*1000/1.12/$I$8),$B$20)*$I$8*$H$8))*IF(NVTable_Data_Entry!$D$68=1,0.313,IF(NVTable_Data_Entry!$D$68=2,0.263,0.403))))/0.6</f>
        <v>34.50660189926842</v>
      </c>
      <c r="D64" s="111">
        <f t="shared" si="0"/>
        <v>0.005888888888888889</v>
      </c>
      <c r="E64" s="111">
        <f t="shared" si="1"/>
        <v>38.84421387446113</v>
      </c>
      <c r="F64" s="111">
        <f t="shared" si="2"/>
        <v>84.97171785038373</v>
      </c>
      <c r="G64" s="111">
        <f t="shared" si="3"/>
        <v>110.244734502455</v>
      </c>
      <c r="H64" s="111">
        <f t="shared" si="5"/>
        <v>7</v>
      </c>
      <c r="I64" s="111">
        <f t="shared" si="4"/>
        <v>100.68621235058032</v>
      </c>
      <c r="J64" s="111"/>
      <c r="K64" s="111"/>
      <c r="L64" s="111"/>
      <c r="M64" s="111"/>
      <c r="N64" s="111"/>
      <c r="O64" s="111"/>
    </row>
    <row r="65" spans="1:15" ht="12.75">
      <c r="A65" s="111">
        <v>29</v>
      </c>
      <c r="B65" s="111">
        <v>0.54</v>
      </c>
      <c r="C65" s="111">
        <f>((((MIN((($F$8*EXP((((B65))/$C$17)*$G$8))*1000/1.12/$I$8*RI),$B$20)*$I$8*$H$8)-(MIN((($F$8*EXP((((B65))/$C$17)*$G$8))*1000/1.12/$I$8),$B$20)*$I$8*$H$8))*IF(NVTable_Data_Entry!$D$68=1,0.313,IF(NVTable_Data_Entry!$D$68=2,0.263,0.403))))/0.6</f>
        <v>35.55787946378486</v>
      </c>
      <c r="D65" s="111">
        <f t="shared" si="0"/>
        <v>0.006</v>
      </c>
      <c r="E65" s="111">
        <f t="shared" si="1"/>
        <v>40.02764105389502</v>
      </c>
      <c r="F65" s="111">
        <f t="shared" si="2"/>
        <v>87.56046480539536</v>
      </c>
      <c r="G65" s="111">
        <f t="shared" si="3"/>
        <v>113.60344876608579</v>
      </c>
      <c r="H65" s="111">
        <f t="shared" si="5"/>
        <v>7</v>
      </c>
      <c r="I65" s="111">
        <f t="shared" si="4"/>
        <v>100.68621235058032</v>
      </c>
      <c r="J65" s="111"/>
      <c r="K65" s="111"/>
      <c r="L65" s="111"/>
      <c r="M65" s="111"/>
      <c r="N65" s="111"/>
      <c r="O65" s="111"/>
    </row>
    <row r="66" spans="1:15" ht="12.75">
      <c r="A66" s="111">
        <v>30</v>
      </c>
      <c r="B66" s="111">
        <v>0.55</v>
      </c>
      <c r="C66" s="111">
        <f>((((MIN((($F$8*EXP((((B66))/$C$17)*$G$8))*1000/1.12/$I$8*RI),$B$20)*$I$8*$H$8)-(MIN((($F$8*EXP((((B66))/$C$17)*$G$8))*1000/1.12/$I$8),$B$20)*$I$8*$H$8))*IF(NVTable_Data_Entry!$D$68=1,0.313,IF(NVTable_Data_Entry!$D$68=2,0.263,0.403))))/0.6</f>
        <v>36.47056506673827</v>
      </c>
      <c r="D66" s="111">
        <f t="shared" si="0"/>
        <v>0.006111111111111111</v>
      </c>
      <c r="E66" s="111">
        <f t="shared" si="1"/>
        <v>41.247122506265114</v>
      </c>
      <c r="F66" s="111">
        <f t="shared" si="2"/>
        <v>90</v>
      </c>
      <c r="G66" s="111">
        <f t="shared" si="3"/>
        <v>116.51937721002639</v>
      </c>
      <c r="H66" s="111">
        <f t="shared" si="5"/>
        <v>7</v>
      </c>
      <c r="I66" s="111">
        <f t="shared" si="4"/>
        <v>100.68621235058032</v>
      </c>
      <c r="J66" s="111"/>
      <c r="K66" s="111"/>
      <c r="L66" s="111"/>
      <c r="M66" s="111"/>
      <c r="N66" s="111"/>
      <c r="O66" s="111"/>
    </row>
    <row r="67" spans="1:15" ht="12.75">
      <c r="A67" s="111">
        <v>31</v>
      </c>
      <c r="B67" s="111">
        <v>0.56</v>
      </c>
      <c r="C67" s="111">
        <f>((((MIN((($F$8*EXP((((B67))/$C$17)*$G$8))*1000/1.12/$I$8*RI),$B$20)*$I$8*$H$8)-(MIN((($F$8*EXP((((B67))/$C$17)*$G$8))*1000/1.12/$I$8),$B$20)*$I$8*$H$8))*IF(NVTable_Data_Entry!$D$68=1,0.313,IF(NVTable_Data_Entry!$D$68=2,0.263,0.403))))/0.6</f>
        <v>35.53051475501248</v>
      </c>
      <c r="D67" s="111">
        <f t="shared" si="0"/>
        <v>0.006222222222222223</v>
      </c>
      <c r="E67" s="111">
        <f t="shared" si="1"/>
        <v>42.503756660456254</v>
      </c>
      <c r="F67" s="111">
        <f t="shared" si="2"/>
        <v>90</v>
      </c>
      <c r="G67" s="111">
        <f t="shared" si="3"/>
        <v>113.51602158150953</v>
      </c>
      <c r="H67" s="111">
        <f t="shared" si="5"/>
        <v>7</v>
      </c>
      <c r="I67" s="111">
        <f t="shared" si="4"/>
        <v>100.68621235058032</v>
      </c>
      <c r="J67" s="111"/>
      <c r="K67" s="111"/>
      <c r="L67" s="111"/>
      <c r="M67" s="111"/>
      <c r="N67" s="111"/>
      <c r="O67" s="111"/>
    </row>
    <row r="68" spans="1:15" ht="12.75">
      <c r="A68" s="111">
        <v>32</v>
      </c>
      <c r="B68" s="111">
        <v>0.57</v>
      </c>
      <c r="C68" s="111">
        <f>((((MIN((($F$8*EXP((((B68))/$C$17)*$G$8))*1000/1.12/$I$8*RI),$B$20)*$I$8*$H$8)-(MIN((($F$8*EXP((((B68))/$C$17)*$G$8))*1000/1.12/$I$8),$B$20)*$I$8*$H$8))*IF(NVTable_Data_Entry!$D$68=1,0.313,IF(NVTable_Data_Entry!$D$68=2,0.263,0.403))))/0.6</f>
        <v>34.561824885989296</v>
      </c>
      <c r="D68" s="111">
        <f t="shared" si="0"/>
        <v>0.006333333333333333</v>
      </c>
      <c r="E68" s="111">
        <f t="shared" si="1"/>
        <v>43.79867541006952</v>
      </c>
      <c r="F68" s="111">
        <f t="shared" si="2"/>
        <v>90</v>
      </c>
      <c r="G68" s="111">
        <f t="shared" si="3"/>
        <v>110.42116576993385</v>
      </c>
      <c r="H68" s="111">
        <f t="shared" si="5"/>
        <v>7</v>
      </c>
      <c r="I68" s="111">
        <f t="shared" si="4"/>
        <v>100.68621235058032</v>
      </c>
      <c r="J68" s="111"/>
      <c r="K68" s="111"/>
      <c r="L68" s="111"/>
      <c r="M68" s="111"/>
      <c r="N68" s="111"/>
      <c r="O68" s="111"/>
    </row>
    <row r="69" spans="1:15" ht="12.75">
      <c r="A69" s="111">
        <v>33</v>
      </c>
      <c r="B69" s="111">
        <v>0.58</v>
      </c>
      <c r="C69" s="111">
        <f>((((MIN((($F$8*EXP((((B69))/$C$17)*$G$8))*1000/1.12/$I$8*RI),$B$20)*$I$8*$H$8)-(MIN((($F$8*EXP((((B69))/$C$17)*$G$8))*1000/1.12/$I$8),$B$20)*$I$8*$H$8))*IF(NVTable_Data_Entry!$D$68=1,0.313,IF(NVTable_Data_Entry!$D$68=2,0.263,0.403))))/0.6</f>
        <v>33.56362292738825</v>
      </c>
      <c r="D69" s="111">
        <f t="shared" si="0"/>
        <v>0.006444444444444444</v>
      </c>
      <c r="E69" s="111">
        <f t="shared" si="1"/>
        <v>45.13304513295782</v>
      </c>
      <c r="F69" s="111">
        <f t="shared" si="2"/>
        <v>90</v>
      </c>
      <c r="G69" s="111">
        <f t="shared" si="3"/>
        <v>107.23202213223082</v>
      </c>
      <c r="H69" s="111">
        <f t="shared" si="5"/>
        <v>7</v>
      </c>
      <c r="I69" s="111">
        <f t="shared" si="4"/>
        <v>100.68621235058032</v>
      </c>
      <c r="J69" s="111"/>
      <c r="K69" s="111"/>
      <c r="L69" s="111"/>
      <c r="M69" s="111"/>
      <c r="N69" s="111"/>
      <c r="O69" s="111"/>
    </row>
    <row r="70" spans="1:15" ht="12.75">
      <c r="A70" s="111">
        <v>34</v>
      </c>
      <c r="B70" s="111">
        <v>0.59</v>
      </c>
      <c r="C70" s="111">
        <f>((((MIN((($F$8*EXP((((B70))/$C$17)*$G$8))*1000/1.12/$I$8*RI),$B$20)*$I$8*$H$8)-(MIN((($F$8*EXP((((B70))/$C$17)*$G$8))*1000/1.12/$I$8),$B$20)*$I$8*$H$8))*IF(NVTable_Data_Entry!$D$68=1,0.313,IF(NVTable_Data_Entry!$D$68=2,0.263,0.403))))/0.6</f>
        <v>32.53500976437487</v>
      </c>
      <c r="D70" s="111">
        <f t="shared" si="0"/>
        <v>0.006555555555555555</v>
      </c>
      <c r="E70" s="111">
        <f t="shared" si="1"/>
        <v>46.50806774182247</v>
      </c>
      <c r="F70" s="111">
        <f t="shared" si="2"/>
        <v>90</v>
      </c>
      <c r="G70" s="111">
        <f t="shared" si="3"/>
        <v>103.9457180970443</v>
      </c>
      <c r="H70" s="111">
        <f t="shared" si="5"/>
        <v>7</v>
      </c>
      <c r="I70" s="111">
        <f t="shared" si="4"/>
        <v>100.68621235058032</v>
      </c>
      <c r="J70" s="111"/>
      <c r="K70" s="111"/>
      <c r="L70" s="111"/>
      <c r="M70" s="111"/>
      <c r="N70" s="111"/>
      <c r="O70" s="111"/>
    </row>
    <row r="71" spans="1:15" ht="12.75">
      <c r="A71" s="111">
        <v>35</v>
      </c>
      <c r="B71" s="111">
        <v>0.6</v>
      </c>
      <c r="C71" s="111">
        <f>((((MIN((($F$8*EXP((((B71))/$C$17)*$G$8))*1000/1.12/$I$8*RI),$B$20)*$I$8*$H$8)-(MIN((($F$8*EXP((((B71))/$C$17)*$G$8))*1000/1.12/$I$8),$B$20)*$I$8*$H$8))*IF(NVTable_Data_Entry!$D$68=1,0.313,IF(NVTable_Data_Entry!$D$68=2,0.263,0.403))))/0.6</f>
        <v>31.475058889696932</v>
      </c>
      <c r="D71" s="111">
        <f t="shared" si="0"/>
        <v>0.006666666666666666</v>
      </c>
      <c r="E71" s="111">
        <f t="shared" si="1"/>
        <v>47.92498176681736</v>
      </c>
      <c r="F71" s="111">
        <f t="shared" si="2"/>
        <v>90</v>
      </c>
      <c r="G71" s="111">
        <f t="shared" si="3"/>
        <v>100.5592935773065</v>
      </c>
      <c r="H71" s="111">
        <f t="shared" si="5"/>
        <v>7</v>
      </c>
      <c r="I71" s="111">
        <f t="shared" si="4"/>
        <v>100.68621235058032</v>
      </c>
      <c r="J71" s="111"/>
      <c r="K71" s="111"/>
      <c r="L71" s="111"/>
      <c r="M71" s="111"/>
      <c r="N71" s="111"/>
      <c r="O71" s="111"/>
    </row>
    <row r="72" spans="1:15" ht="12.75">
      <c r="A72" s="111">
        <v>36</v>
      </c>
      <c r="B72" s="111">
        <v>0.61</v>
      </c>
      <c r="C72" s="111">
        <f>((((MIN((($F$8*EXP((((B72))/$C$17)*$G$8))*1000/1.12/$I$8*RI),$B$20)*$I$8*$H$8)-(MIN((($F$8*EXP((((B72))/$C$17)*$G$8))*1000/1.12/$I$8),$B$20)*$I$8*$H$8))*IF(NVTable_Data_Entry!$D$68=1,0.313,IF(NVTable_Data_Entry!$D$68=2,0.263,0.403))))/0.6</f>
        <v>30.382815569147606</v>
      </c>
      <c r="D72" s="111">
        <f t="shared" si="0"/>
        <v>0.0067777777777777775</v>
      </c>
      <c r="E72" s="111">
        <f t="shared" si="1"/>
        <v>49.38506347113558</v>
      </c>
      <c r="F72" s="111">
        <f t="shared" si="2"/>
        <v>90</v>
      </c>
      <c r="G72" s="111">
        <f t="shared" si="3"/>
        <v>97.06969830398597</v>
      </c>
      <c r="H72" s="111">
        <f t="shared" si="5"/>
        <v>7</v>
      </c>
      <c r="I72" s="111">
        <f t="shared" si="4"/>
        <v>100.68621235058032</v>
      </c>
      <c r="J72" s="111"/>
      <c r="K72" s="111"/>
      <c r="L72" s="111"/>
      <c r="M72" s="111"/>
      <c r="N72" s="111"/>
      <c r="O72" s="111"/>
    </row>
    <row r="73" spans="1:15" ht="12.75">
      <c r="A73" s="111">
        <v>37</v>
      </c>
      <c r="B73" s="111">
        <v>0.62</v>
      </c>
      <c r="C73" s="111">
        <f>((((MIN((($F$8*EXP((((B73))/$C$17)*$G$8))*1000/1.12/$I$8*RI),$B$20)*$I$8*$H$8)-(MIN((($F$8*EXP((((B73))/$C$17)*$G$8))*1000/1.12/$I$8),$B$20)*$I$8*$H$8))*IF(NVTable_Data_Entry!$D$68=1,0.313,IF(NVTable_Data_Entry!$D$68=2,0.263,0.403))))/0.6</f>
        <v>29.257295981603377</v>
      </c>
      <c r="D73" s="111">
        <f t="shared" si="0"/>
        <v>0.006888888888888889</v>
      </c>
      <c r="E73" s="111">
        <f t="shared" si="1"/>
        <v>50.88962800058366</v>
      </c>
      <c r="F73" s="111">
        <f t="shared" si="2"/>
        <v>90</v>
      </c>
      <c r="G73" s="111">
        <f t="shared" si="3"/>
        <v>93.47378907860505</v>
      </c>
      <c r="H73" s="111">
        <f t="shared" si="5"/>
        <v>7</v>
      </c>
      <c r="I73" s="111">
        <f t="shared" si="4"/>
        <v>100.68621235058032</v>
      </c>
      <c r="J73" s="111"/>
      <c r="K73" s="111"/>
      <c r="L73" s="111"/>
      <c r="M73" s="111"/>
      <c r="N73" s="111"/>
      <c r="O73" s="111"/>
    </row>
    <row r="74" spans="1:15" ht="12.75">
      <c r="A74" s="111">
        <v>38</v>
      </c>
      <c r="B74" s="111">
        <v>0.63</v>
      </c>
      <c r="C74" s="111">
        <f>((((MIN((($F$8*EXP((((B74))/$C$17)*$G$8))*1000/1.12/$I$8*RI),$B$20)*$I$8*$H$8)-(MIN((($F$8*EXP((((B74))/$C$17)*$G$8))*1000/1.12/$I$8),$B$20)*$I$8*$H$8))*IF(NVTable_Data_Entry!$D$68=1,0.313,IF(NVTable_Data_Entry!$D$68=2,0.263,0.403))))/0.6</f>
        <v>28.097486332862648</v>
      </c>
      <c r="D74" s="111">
        <f t="shared" si="0"/>
        <v>0.007</v>
      </c>
      <c r="E74" s="111">
        <f t="shared" si="1"/>
        <v>52.440030568178585</v>
      </c>
      <c r="F74" s="111">
        <f t="shared" si="2"/>
        <v>90</v>
      </c>
      <c r="G74" s="111">
        <f t="shared" si="3"/>
        <v>89.76832694205319</v>
      </c>
      <c r="H74" s="111">
        <f t="shared" si="5"/>
        <v>6</v>
      </c>
      <c r="I74" s="111">
        <f t="shared" si="4"/>
        <v>86.11084300274787</v>
      </c>
      <c r="J74" s="111"/>
      <c r="K74" s="111"/>
      <c r="L74" s="111"/>
      <c r="M74" s="111"/>
      <c r="N74" s="111"/>
      <c r="O74" s="111"/>
    </row>
    <row r="75" spans="1:15" ht="12.75">
      <c r="A75" s="111">
        <v>39</v>
      </c>
      <c r="B75" s="111">
        <v>0.64</v>
      </c>
      <c r="C75" s="111">
        <f>((((MIN((($F$8*EXP((((B75))/$C$17)*$G$8))*1000/1.12/$I$8*RI),$B$20)*$I$8*$H$8)-(MIN((($F$8*EXP((((B75))/$C$17)*$G$8))*1000/1.12/$I$8),$B$20)*$I$8*$H$8))*IF(NVTable_Data_Entry!$D$68=1,0.313,IF(NVTable_Data_Entry!$D$68=2,0.263,0.403))))/0.6</f>
        <v>26.90234194248642</v>
      </c>
      <c r="D75" s="111">
        <f t="shared" si="0"/>
        <v>0.0071111111111111115</v>
      </c>
      <c r="E75" s="111">
        <f t="shared" si="1"/>
        <v>54.03766767483469</v>
      </c>
      <c r="F75" s="111">
        <f t="shared" si="2"/>
        <v>90</v>
      </c>
      <c r="G75" s="111">
        <f t="shared" si="3"/>
        <v>85.9499742571451</v>
      </c>
      <c r="H75" s="111">
        <f t="shared" si="5"/>
        <v>6</v>
      </c>
      <c r="I75" s="111">
        <f t="shared" si="4"/>
        <v>86.11084300274787</v>
      </c>
      <c r="J75" s="111"/>
      <c r="K75" s="111"/>
      <c r="L75" s="111"/>
      <c r="M75" s="111"/>
      <c r="N75" s="111"/>
      <c r="O75" s="111"/>
    </row>
    <row r="76" spans="1:15" ht="12.75">
      <c r="A76" s="111">
        <v>40</v>
      </c>
      <c r="B76" s="111">
        <v>0.65</v>
      </c>
      <c r="C76" s="111">
        <f>((((MIN((($F$8*EXP((((B76))/$C$17)*$G$8))*1000/1.12/$I$8*RI),$B$20)*$I$8*$H$8)-(MIN((($F$8*EXP((((B76))/$C$17)*$G$8))*1000/1.12/$I$8),$B$20)*$I$8*$H$8))*IF(NVTable_Data_Entry!$D$68=1,0.313,IF(NVTable_Data_Entry!$D$68=2,0.263,0.403))))/0.6</f>
        <v>25.670786302818552</v>
      </c>
      <c r="D76" s="111">
        <f t="shared" si="0"/>
        <v>0.007222222222222223</v>
      </c>
      <c r="E76" s="111">
        <f t="shared" si="1"/>
        <v>55.6839783672403</v>
      </c>
      <c r="F76" s="111">
        <f t="shared" si="2"/>
        <v>90</v>
      </c>
      <c r="G76" s="111">
        <f t="shared" si="3"/>
        <v>82.0152917022957</v>
      </c>
      <c r="H76" s="111">
        <f t="shared" si="5"/>
        <v>6</v>
      </c>
      <c r="I76" s="111">
        <f t="shared" si="4"/>
        <v>86.11084300274787</v>
      </c>
      <c r="J76" s="111"/>
      <c r="K76" s="111"/>
      <c r="L76" s="111"/>
      <c r="M76" s="111"/>
      <c r="N76" s="111"/>
      <c r="O76" s="111"/>
    </row>
    <row r="77" spans="1:15" ht="12.75">
      <c r="A77" s="111">
        <v>41</v>
      </c>
      <c r="B77" s="111">
        <v>0.66</v>
      </c>
      <c r="C77" s="111">
        <f>((((MIN((($F$8*EXP((((B77))/$C$17)*$G$8))*1000/1.12/$I$8*RI),$B$20)*$I$8*$H$8)-(MIN((($F$8*EXP((((B77))/$C$17)*$G$8))*1000/1.12/$I$8),$B$20)*$I$8*$H$8))*IF(NVTable_Data_Entry!$D$68=1,0.313,IF(NVTable_Data_Entry!$D$68=2,0.263,0.403))))/0.6</f>
        <v>24.401710109338527</v>
      </c>
      <c r="D77" s="111">
        <f t="shared" si="0"/>
        <v>0.007333333333333334</v>
      </c>
      <c r="E77" s="111">
        <f t="shared" si="1"/>
        <v>57.38044553405627</v>
      </c>
      <c r="F77" s="111">
        <f t="shared" si="2"/>
        <v>90</v>
      </c>
      <c r="G77" s="111">
        <f t="shared" si="3"/>
        <v>77.96073517360553</v>
      </c>
      <c r="H77" s="111">
        <f t="shared" si="5"/>
        <v>5</v>
      </c>
      <c r="I77" s="111">
        <f t="shared" si="4"/>
        <v>71.9231045662875</v>
      </c>
      <c r="J77" s="111"/>
      <c r="K77" s="111"/>
      <c r="L77" s="111"/>
      <c r="M77" s="111"/>
      <c r="N77" s="111"/>
      <c r="O77" s="111"/>
    </row>
    <row r="78" spans="1:15" ht="12.75">
      <c r="A78" s="111">
        <v>42</v>
      </c>
      <c r="B78" s="111">
        <v>0.67</v>
      </c>
      <c r="C78" s="111">
        <f>((((MIN((($F$8*EXP((((B78))/$C$17)*$G$8))*1000/1.12/$I$8*RI),$B$20)*$I$8*$H$8)-(MIN((($F$8*EXP((((B78))/$C$17)*$G$8))*1000/1.12/$I$8),$B$20)*$I$8*$H$8))*IF(NVTable_Data_Entry!$D$68=1,0.313,IF(NVTable_Data_Entry!$D$68=2,0.263,0.403))))/0.6</f>
        <v>23.093970261472553</v>
      </c>
      <c r="D78" s="111">
        <f t="shared" si="0"/>
        <v>0.0074444444444444445</v>
      </c>
      <c r="E78" s="111">
        <f t="shared" si="1"/>
        <v>59.12859724160499</v>
      </c>
      <c r="F78" s="111">
        <f t="shared" si="2"/>
        <v>90</v>
      </c>
      <c r="G78" s="111">
        <f t="shared" si="3"/>
        <v>73.78265259256408</v>
      </c>
      <c r="H78" s="111">
        <f t="shared" si="5"/>
        <v>5</v>
      </c>
      <c r="I78" s="111">
        <f t="shared" si="4"/>
        <v>71.9231045662875</v>
      </c>
      <c r="J78" s="111"/>
      <c r="K78" s="111"/>
      <c r="L78" s="111"/>
      <c r="M78" s="111"/>
      <c r="N78" s="111"/>
      <c r="O78" s="111"/>
    </row>
    <row r="79" spans="1:15" ht="12.75">
      <c r="A79" s="111">
        <v>43</v>
      </c>
      <c r="B79" s="111">
        <v>0.68</v>
      </c>
      <c r="C79" s="111">
        <f>((((MIN((($F$8*EXP((((B79))/$C$17)*$G$8))*1000/1.12/$I$8*RI),$B$20)*$I$8*$H$8)-(MIN((($F$8*EXP((((B79))/$C$17)*$G$8))*1000/1.12/$I$8),$B$20)*$I$8*$H$8))*IF(NVTable_Data_Entry!$D$68=1,0.313,IF(NVTable_Data_Entry!$D$68=2,0.263,0.403))))/0.6</f>
        <v>21.74638883296357</v>
      </c>
      <c r="D79" s="111">
        <f t="shared" si="0"/>
        <v>0.007555555555555556</v>
      </c>
      <c r="E79" s="111">
        <f t="shared" si="1"/>
        <v>60.93000811025229</v>
      </c>
      <c r="F79" s="111">
        <f t="shared" si="2"/>
        <v>90</v>
      </c>
      <c r="G79" s="111">
        <f t="shared" si="3"/>
        <v>69.47728061649704</v>
      </c>
      <c r="H79" s="111">
        <f t="shared" si="5"/>
        <v>5</v>
      </c>
      <c r="I79" s="111">
        <f t="shared" si="4"/>
        <v>71.9231045662875</v>
      </c>
      <c r="J79" s="111"/>
      <c r="K79" s="111"/>
      <c r="L79" s="111"/>
      <c r="M79" s="111"/>
      <c r="N79" s="111"/>
      <c r="O79" s="111"/>
    </row>
    <row r="80" spans="1:15" ht="12.75">
      <c r="A80" s="111">
        <v>44</v>
      </c>
      <c r="B80" s="111">
        <v>0.69</v>
      </c>
      <c r="C80" s="111">
        <f>((((MIN((($F$8*EXP((((B80))/$C$17)*$G$8))*1000/1.12/$I$8*RI),$B$20)*$I$8*$H$8)-(MIN((($F$8*EXP((((B80))/$C$17)*$G$8))*1000/1.12/$I$8),$B$20)*$I$8*$H$8))*IF(NVTable_Data_Entry!$D$68=1,0.313,IF(NVTable_Data_Entry!$D$68=2,0.263,0.403))))/0.6</f>
        <v>20.35775201087264</v>
      </c>
      <c r="D80" s="111">
        <f t="shared" si="0"/>
        <v>0.007666666666666666</v>
      </c>
      <c r="E80" s="111">
        <f t="shared" si="1"/>
        <v>62.78630073272202</v>
      </c>
      <c r="F80" s="111">
        <f t="shared" si="2"/>
        <v>90</v>
      </c>
      <c r="G80" s="111">
        <f t="shared" si="3"/>
        <v>65.04074124879438</v>
      </c>
      <c r="H80" s="111">
        <f t="shared" si="5"/>
        <v>5</v>
      </c>
      <c r="I80" s="111">
        <f t="shared" si="4"/>
        <v>71.9231045662875</v>
      </c>
      <c r="J80" s="111"/>
      <c r="K80" s="111"/>
      <c r="L80" s="111"/>
      <c r="M80" s="111"/>
      <c r="N80" s="111"/>
      <c r="O80" s="111"/>
    </row>
    <row r="81" spans="1:15" ht="12.75">
      <c r="A81" s="111">
        <v>45</v>
      </c>
      <c r="B81" s="111">
        <v>0.7</v>
      </c>
      <c r="C81" s="111">
        <f>((((MIN((($F$8*EXP((((B81))/$C$17)*$G$8))*1000/1.12/$I$8*RI),$B$20)*$I$8*$H$8)-(MIN((($F$8*EXP((((B81))/$C$17)*$G$8))*1000/1.12/$I$8),$B$20)*$I$8*$H$8))*IF(NVTable_Data_Entry!$D$68=1,0.313,IF(NVTable_Data_Entry!$D$68=2,0.263,0.403))))/0.6</f>
        <v>18.92680900225576</v>
      </c>
      <c r="D81" s="111">
        <f t="shared" si="0"/>
        <v>0.0077777777777777776</v>
      </c>
      <c r="E81" s="111">
        <f t="shared" si="1"/>
        <v>64.69914713562132</v>
      </c>
      <c r="F81" s="111">
        <f t="shared" si="2"/>
        <v>90</v>
      </c>
      <c r="G81" s="111">
        <f t="shared" si="3"/>
        <v>60.469038345865044</v>
      </c>
      <c r="H81" s="111">
        <f t="shared" si="5"/>
        <v>4</v>
      </c>
      <c r="I81" s="111">
        <f t="shared" si="4"/>
        <v>57.34773521845503</v>
      </c>
      <c r="J81" s="111"/>
      <c r="K81" s="111"/>
      <c r="L81" s="111"/>
      <c r="M81" s="111"/>
      <c r="N81" s="111"/>
      <c r="O81" s="111"/>
    </row>
    <row r="82" spans="1:15" ht="12.75">
      <c r="A82" s="111">
        <v>46</v>
      </c>
      <c r="B82" s="111">
        <v>0.71</v>
      </c>
      <c r="C82" s="111">
        <f>((((MIN((($F$8*EXP((((B82))/$C$17)*$G$8))*1000/1.12/$I$8*RI),$B$20)*$I$8*$H$8)-(MIN((($F$8*EXP((((B82))/$C$17)*$G$8))*1000/1.12/$I$8),$B$20)*$I$8*$H$8))*IF(NVTable_Data_Entry!$D$68=1,0.313,IF(NVTable_Data_Entry!$D$68=2,0.263,0.403))))/0.6</f>
        <v>17.4522709075319</v>
      </c>
      <c r="D82" s="111">
        <f t="shared" si="0"/>
        <v>0.007888888888888888</v>
      </c>
      <c r="E82" s="111">
        <f t="shared" si="1"/>
        <v>66.67027028549214</v>
      </c>
      <c r="F82" s="111">
        <f t="shared" si="2"/>
        <v>90</v>
      </c>
      <c r="G82" s="111">
        <f t="shared" si="3"/>
        <v>55.75805401767381</v>
      </c>
      <c r="H82" s="111">
        <f t="shared" si="5"/>
        <v>4</v>
      </c>
      <c r="I82" s="111">
        <f t="shared" si="4"/>
        <v>57.34773521845503</v>
      </c>
      <c r="J82" s="111"/>
      <c r="K82" s="111"/>
      <c r="L82" s="111"/>
      <c r="M82" s="111"/>
      <c r="N82" s="111"/>
      <c r="O82" s="111"/>
    </row>
    <row r="83" spans="1:15" ht="12.75">
      <c r="A83" s="111">
        <v>47</v>
      </c>
      <c r="B83" s="111">
        <v>0.72</v>
      </c>
      <c r="C83" s="111">
        <f>((((MIN((($F$8*EXP((((B83))/$C$17)*$G$8))*1000/1.12/$I$8*RI),$B$20)*$I$8*$H$8)-(MIN((($F$8*EXP((((B83))/$C$17)*$G$8))*1000/1.12/$I$8),$B$20)*$I$8*$H$8))*IF(NVTable_Data_Entry!$D$68=1,0.313,IF(NVTable_Data_Entry!$D$68=2,0.263,0.403))))/0.6</f>
        <v>15.932809559526369</v>
      </c>
      <c r="D83" s="111">
        <f t="shared" si="0"/>
        <v>0.008</v>
      </c>
      <c r="E83" s="111">
        <f t="shared" si="1"/>
        <v>68.70144564074704</v>
      </c>
      <c r="F83" s="111">
        <f t="shared" si="2"/>
        <v>90</v>
      </c>
      <c r="G83" s="111">
        <f t="shared" si="3"/>
        <v>50.90354491861459</v>
      </c>
      <c r="H83" s="111">
        <f t="shared" si="5"/>
        <v>4</v>
      </c>
      <c r="I83" s="111">
        <f t="shared" si="4"/>
        <v>57.34773521845503</v>
      </c>
      <c r="J83" s="111"/>
      <c r="K83" s="111"/>
      <c r="L83" s="111"/>
      <c r="M83" s="111"/>
      <c r="N83" s="111"/>
      <c r="O83" s="111"/>
    </row>
    <row r="84" spans="1:15" ht="12.75">
      <c r="A84" s="111">
        <v>48</v>
      </c>
      <c r="B84" s="111">
        <v>0.73</v>
      </c>
      <c r="C84" s="111">
        <f>((((MIN((($F$8*EXP((((B84))/$C$17)*$G$8))*1000/1.12/$I$8*RI),$B$20)*$I$8*$H$8)-(MIN((($F$8*EXP((((B84))/$C$17)*$G$8))*1000/1.12/$I$8),$B$20)*$I$8*$H$8))*IF(NVTable_Data_Entry!$D$68=1,0.313,IF(NVTable_Data_Entry!$D$68=2,0.263,0.403))))/0.6</f>
        <v>14.367056327145482</v>
      </c>
      <c r="D84" s="111">
        <f t="shared" si="0"/>
        <v>0.00811111111111111</v>
      </c>
      <c r="E84" s="111">
        <f t="shared" si="1"/>
        <v>70.79450275088496</v>
      </c>
      <c r="F84" s="111">
        <f t="shared" si="2"/>
        <v>90</v>
      </c>
      <c r="G84" s="111">
        <f t="shared" si="3"/>
        <v>45.90113842538493</v>
      </c>
      <c r="H84" s="111">
        <f t="shared" si="5"/>
        <v>3</v>
      </c>
      <c r="I84" s="111">
        <f t="shared" si="4"/>
        <v>43.3384771321253</v>
      </c>
      <c r="J84" s="111"/>
      <c r="K84" s="111"/>
      <c r="L84" s="111"/>
      <c r="M84" s="111"/>
      <c r="N84" s="111"/>
      <c r="O84" s="111"/>
    </row>
    <row r="85" spans="1:15" ht="12.75">
      <c r="A85" s="111">
        <v>49</v>
      </c>
      <c r="B85" s="111">
        <v>0.74</v>
      </c>
      <c r="C85" s="111">
        <f>((((MIN((($F$8*EXP((((B85))/$C$17)*$G$8))*1000/1.12/$I$8*RI),$B$20)*$I$8*$H$8)-(MIN((($F$8*EXP((((B85))/$C$17)*$G$8))*1000/1.12/$I$8),$B$20)*$I$8*$H$8))*IF(NVTable_Data_Entry!$D$68=1,0.313,IF(NVTable_Data_Entry!$D$68=2,0.263,0.403))))/0.6</f>
        <v>12.753600882603106</v>
      </c>
      <c r="D85" s="111">
        <f t="shared" si="0"/>
        <v>0.008222222222222223</v>
      </c>
      <c r="E85" s="111">
        <f t="shared" si="1"/>
        <v>72.95132690442992</v>
      </c>
      <c r="F85" s="111">
        <f t="shared" si="2"/>
        <v>90</v>
      </c>
      <c r="G85" s="111">
        <f t="shared" si="3"/>
        <v>40.74632869841248</v>
      </c>
      <c r="H85" s="111">
        <f t="shared" si="5"/>
        <v>3</v>
      </c>
      <c r="I85" s="111">
        <f t="shared" si="4"/>
        <v>43.3384771321253</v>
      </c>
      <c r="J85" s="111"/>
      <c r="K85" s="111"/>
      <c r="L85" s="111"/>
      <c r="M85" s="111"/>
      <c r="N85" s="111"/>
      <c r="O85" s="111"/>
    </row>
    <row r="86" spans="1:15" ht="12.75">
      <c r="A86" s="111">
        <v>50</v>
      </c>
      <c r="B86" s="111">
        <v>0.75</v>
      </c>
      <c r="C86" s="111">
        <f>((((MIN((($F$8*EXP((((B86))/$C$17)*$G$8))*1000/1.12/$I$8*RI),$B$20)*$I$8*$H$8)-(MIN((($F$8*EXP((((B86))/$C$17)*$G$8))*1000/1.12/$I$8),$B$20)*$I$8*$H$8))*IF(NVTable_Data_Entry!$D$68=1,0.313,IF(NVTable_Data_Entry!$D$68=2,0.263,0.403))))/0.6</f>
        <v>11.090989931090032</v>
      </c>
      <c r="D86" s="111">
        <f t="shared" si="0"/>
        <v>0.008333333333333333</v>
      </c>
      <c r="E86" s="111">
        <f t="shared" si="1"/>
        <v>75.17386082707496</v>
      </c>
      <c r="F86" s="111">
        <f t="shared" si="2"/>
        <v>90</v>
      </c>
      <c r="G86" s="111">
        <f t="shared" si="3"/>
        <v>35.434472623290844</v>
      </c>
      <c r="H86" s="111">
        <f t="shared" si="5"/>
        <v>2</v>
      </c>
      <c r="I86" s="111">
        <f t="shared" si="4"/>
        <v>28.763107784292856</v>
      </c>
      <c r="J86" s="111"/>
      <c r="K86" s="111"/>
      <c r="L86" s="111"/>
      <c r="M86" s="111"/>
      <c r="N86" s="111"/>
      <c r="O86" s="111"/>
    </row>
    <row r="87" spans="1:15" ht="12.75">
      <c r="A87" s="111">
        <v>51</v>
      </c>
      <c r="B87" s="111">
        <v>0.76</v>
      </c>
      <c r="C87" s="111">
        <f>((((MIN((($F$8*EXP((((B87))/$C$17)*$G$8))*1000/1.12/$I$8*RI),$B$20)*$I$8*$H$8)-(MIN((($F$8*EXP((((B87))/$C$17)*$G$8))*1000/1.12/$I$8),$B$20)*$I$8*$H$8))*IF(NVTable_Data_Entry!$D$68=1,0.313,IF(NVTable_Data_Entry!$D$68=2,0.263,0.403))))/0.6</f>
        <v>9.37772590174139</v>
      </c>
      <c r="D87" s="111">
        <f t="shared" si="0"/>
        <v>0.008444444444444445</v>
      </c>
      <c r="E87" s="111">
        <f t="shared" si="1"/>
        <v>77.46410643156203</v>
      </c>
      <c r="F87" s="111">
        <f t="shared" si="2"/>
        <v>90</v>
      </c>
      <c r="G87" s="111">
        <f t="shared" si="3"/>
        <v>29.96078562856674</v>
      </c>
      <c r="H87" s="111">
        <f t="shared" si="5"/>
        <v>2</v>
      </c>
      <c r="I87" s="111">
        <f t="shared" si="4"/>
        <v>28.763107784292856</v>
      </c>
      <c r="J87" s="111"/>
      <c r="K87" s="111"/>
      <c r="L87" s="111"/>
      <c r="M87" s="111"/>
      <c r="N87" s="111"/>
      <c r="O87" s="111"/>
    </row>
    <row r="88" spans="1:15" ht="12.75">
      <c r="A88" s="111">
        <v>52</v>
      </c>
      <c r="B88" s="111">
        <v>0.77</v>
      </c>
      <c r="C88" s="111">
        <f>((((MIN((($F$8*EXP((((B88))/$C$17)*$G$8))*1000/1.12/$I$8*RI),$B$20)*$I$8*$H$8)-(MIN((($F$8*EXP((((B88))/$C$17)*$G$8))*1000/1.12/$I$8),$B$20)*$I$8*$H$8))*IF(NVTable_Data_Entry!$D$68=1,0.313,IF(NVTable_Data_Entry!$D$68=2,0.263,0.403))))/0.6</f>
        <v>7.6122655987229955</v>
      </c>
      <c r="D88" s="111">
        <f t="shared" si="0"/>
        <v>0.008555555555555556</v>
      </c>
      <c r="E88" s="111">
        <f t="shared" si="1"/>
        <v>79.82412662087373</v>
      </c>
      <c r="F88" s="111">
        <f t="shared" si="2"/>
        <v>90</v>
      </c>
      <c r="G88" s="111">
        <f t="shared" si="3"/>
        <v>24.320337376111805</v>
      </c>
      <c r="H88" s="111">
        <f t="shared" si="5"/>
        <v>2</v>
      </c>
      <c r="I88" s="111">
        <f t="shared" si="4"/>
        <v>28.763107784292856</v>
      </c>
      <c r="J88" s="111"/>
      <c r="K88" s="111"/>
      <c r="L88" s="111"/>
      <c r="M88" s="111"/>
      <c r="N88" s="111"/>
      <c r="O88" s="111"/>
    </row>
    <row r="89" spans="1:15" ht="12.75">
      <c r="A89" s="111">
        <v>53</v>
      </c>
      <c r="B89" s="111">
        <v>0.78</v>
      </c>
      <c r="C89" s="111">
        <f>((((MIN((($F$8*EXP((((B89))/$C$17)*$G$8))*1000/1.12/$I$8*RI),$B$20)*$I$8*$H$8)-(MIN((($F$8*EXP((((B89))/$C$17)*$G$8))*1000/1.12/$I$8),$B$20)*$I$8*$H$8))*IF(NVTable_Data_Entry!$D$68=1,0.313,IF(NVTable_Data_Entry!$D$68=2,0.263,0.403))))/0.6</f>
        <v>5.793018811221859</v>
      </c>
      <c r="D89" s="111">
        <f t="shared" si="0"/>
        <v>0.008666666666666666</v>
      </c>
      <c r="E89" s="111">
        <f t="shared" si="1"/>
        <v>82.25604714636081</v>
      </c>
      <c r="F89" s="111">
        <f t="shared" si="2"/>
        <v>90</v>
      </c>
      <c r="G89" s="111">
        <f t="shared" si="3"/>
        <v>18.50804732019763</v>
      </c>
      <c r="H89" s="111">
        <f t="shared" si="5"/>
        <v>1</v>
      </c>
      <c r="I89" s="111">
        <f t="shared" si="4"/>
        <v>14.575369347832464</v>
      </c>
      <c r="J89" s="111"/>
      <c r="K89" s="111"/>
      <c r="L89" s="111"/>
      <c r="M89" s="111"/>
      <c r="N89" s="111"/>
      <c r="O89" s="111"/>
    </row>
    <row r="90" spans="1:15" ht="12.75">
      <c r="A90" s="111">
        <v>54</v>
      </c>
      <c r="B90" s="111">
        <v>0.79</v>
      </c>
      <c r="C90" s="111">
        <f>((((MIN((($F$8*EXP((((B90))/$C$17)*$G$8))*1000/1.12/$I$8*RI),$B$20)*$I$8*$H$8)-(MIN((($F$8*EXP((((B90))/$C$17)*$G$8))*1000/1.12/$I$8),$B$20)*$I$8*$H$8))*IF(NVTable_Data_Entry!$D$68=1,0.313,IF(NVTable_Data_Entry!$D$68=2,0.263,0.403))))/0.6</f>
        <v>3.9183468810885165</v>
      </c>
      <c r="D90" s="111">
        <f t="shared" si="0"/>
        <v>0.008777777777777778</v>
      </c>
      <c r="E90" s="111">
        <f t="shared" si="1"/>
        <v>84.76205852247982</v>
      </c>
      <c r="F90" s="111">
        <f t="shared" si="2"/>
        <v>90</v>
      </c>
      <c r="G90" s="111">
        <f t="shared" si="3"/>
        <v>12.518680131273214</v>
      </c>
      <c r="H90" s="111">
        <f t="shared" si="5"/>
        <v>1</v>
      </c>
      <c r="I90" s="111">
        <f t="shared" si="4"/>
        <v>14.575369347832464</v>
      </c>
      <c r="J90" s="111"/>
      <c r="K90" s="111"/>
      <c r="L90" s="111"/>
      <c r="M90" s="111"/>
      <c r="N90" s="111"/>
      <c r="O90" s="111"/>
    </row>
    <row r="91" spans="1:15" ht="12.75">
      <c r="A91" s="111">
        <v>55</v>
      </c>
      <c r="B91" s="111">
        <v>0.8</v>
      </c>
      <c r="C91" s="111">
        <f>((((MIN((($F$8*EXP((((B91))/$C$17)*$G$8))*1000/1.12/$I$8*RI),$B$20)*$I$8*$H$8)-(MIN((($F$8*EXP((((B91))/$C$17)*$G$8))*1000/1.12/$I$8),$B$20)*$I$8*$H$8))*IF(NVTable_Data_Entry!$D$68=1,0.313,IF(NVTable_Data_Entry!$D$68=2,0.263,0.403))))/0.6</f>
        <v>1.9865612268414545</v>
      </c>
      <c r="D91" s="111">
        <f t="shared" si="0"/>
        <v>0.008888888888888889</v>
      </c>
      <c r="E91" s="111">
        <f t="shared" si="1"/>
        <v>87.34441799986438</v>
      </c>
      <c r="F91" s="111">
        <f t="shared" si="2"/>
        <v>90</v>
      </c>
      <c r="G91" s="111">
        <f t="shared" si="3"/>
        <v>6.346840980324137</v>
      </c>
      <c r="H91" s="111">
        <f t="shared" si="5"/>
        <v>0</v>
      </c>
      <c r="I91" s="111">
        <f t="shared" si="4"/>
        <v>0</v>
      </c>
      <c r="J91" s="111"/>
      <c r="K91" s="111"/>
      <c r="L91" s="111"/>
      <c r="M91" s="111"/>
      <c r="N91" s="111"/>
      <c r="O91" s="111"/>
    </row>
    <row r="92" spans="1:19" ht="12.75">
      <c r="A92" s="111">
        <v>56</v>
      </c>
      <c r="B92" s="111">
        <v>0.81</v>
      </c>
      <c r="C92" s="111">
        <f>((((MIN((($F$8*EXP((((B92))/$C$17)*$G$8))*1000/1.12/$I$8*RI),$B$20)*$I$8*$H$8)-(MIN((($F$8*EXP((((B92))/$C$17)*$G$8))*1000/1.12/$I$8),$B$20)*$I$8*$H$8))*IF(NVTable_Data_Entry!$D$68=1,0.313,IF(NVTable_Data_Entry!$D$68=2,0.263,0.403))))/0.6</f>
        <v>0</v>
      </c>
      <c r="D92" s="111">
        <f t="shared" si="0"/>
        <v>0.009000000000000001</v>
      </c>
      <c r="E92" s="111">
        <f t="shared" si="1"/>
        <v>90</v>
      </c>
      <c r="F92" s="111">
        <f t="shared" si="2"/>
        <v>90</v>
      </c>
      <c r="G92" s="111">
        <f t="shared" si="3"/>
        <v>0</v>
      </c>
      <c r="H92" s="111">
        <f t="shared" si="5"/>
        <v>0</v>
      </c>
      <c r="I92" s="111">
        <f t="shared" si="4"/>
        <v>0</v>
      </c>
      <c r="J92" s="111"/>
      <c r="K92" s="111"/>
      <c r="L92" s="111"/>
      <c r="M92" s="111"/>
      <c r="N92" s="111"/>
      <c r="O92" s="111"/>
      <c r="S92" s="124"/>
    </row>
    <row r="93" spans="1:19" ht="12.75">
      <c r="A93" s="111">
        <v>57</v>
      </c>
      <c r="B93" s="111">
        <v>0.820000000000001</v>
      </c>
      <c r="C93" s="111">
        <f>((((MIN((($F$8*EXP((((B93))/$C$17)*$G$8))*1000/1.12/$I$8*RI),$B$20)*$I$8*$H$8)-(MIN((($F$8*EXP((((B93))/$C$17)*$G$8))*1000/1.12/$I$8),$B$20)*$I$8*$H$8))*IF(NVTable_Data_Entry!$D$68=1,0.313,IF(NVTable_Data_Entry!$D$68=2,0.263,0.403))))/0.6</f>
        <v>0</v>
      </c>
      <c r="D93" s="111">
        <f t="shared" si="0"/>
        <v>0.009111111111111122</v>
      </c>
      <c r="E93" s="111">
        <f t="shared" si="1"/>
        <v>90</v>
      </c>
      <c r="F93" s="111">
        <f t="shared" si="2"/>
        <v>90</v>
      </c>
      <c r="G93" s="111">
        <f t="shared" si="3"/>
        <v>0</v>
      </c>
      <c r="H93" s="111">
        <f t="shared" si="5"/>
        <v>0</v>
      </c>
      <c r="I93" s="111">
        <f t="shared" si="4"/>
        <v>0</v>
      </c>
      <c r="J93" s="111"/>
      <c r="K93" s="111"/>
      <c r="L93" s="111"/>
      <c r="M93" s="111"/>
      <c r="N93" s="111"/>
      <c r="O93" s="111"/>
      <c r="S93" s="124"/>
    </row>
    <row r="94" spans="1:19" ht="12.75">
      <c r="A94" s="111">
        <v>58</v>
      </c>
      <c r="B94" s="111">
        <v>0.830000000000001</v>
      </c>
      <c r="C94" s="111">
        <f>((((MIN((($F$8*EXP((((B94))/$C$17)*$G$8))*1000/1.12/$I$8*RI),$B$20)*$I$8*$H$8)-(MIN((($F$8*EXP((((B94))/$C$17)*$G$8))*1000/1.12/$I$8),$B$20)*$I$8*$H$8))*IF(NVTable_Data_Entry!$D$68=1,0.313,IF(NVTable_Data_Entry!$D$68=2,0.263,0.403))))/0.6</f>
        <v>0</v>
      </c>
      <c r="D94" s="111">
        <f t="shared" si="0"/>
        <v>0.009222222222222232</v>
      </c>
      <c r="E94" s="111">
        <f t="shared" si="1"/>
        <v>90</v>
      </c>
      <c r="F94" s="111">
        <f t="shared" si="2"/>
        <v>90</v>
      </c>
      <c r="G94" s="111">
        <f t="shared" si="3"/>
        <v>0</v>
      </c>
      <c r="H94" s="111">
        <f t="shared" si="5"/>
        <v>0</v>
      </c>
      <c r="I94" s="111">
        <f t="shared" si="4"/>
        <v>0</v>
      </c>
      <c r="J94" s="111"/>
      <c r="K94" s="111"/>
      <c r="L94" s="111"/>
      <c r="M94" s="111"/>
      <c r="N94" s="111"/>
      <c r="O94" s="111"/>
      <c r="S94" s="124"/>
    </row>
    <row r="95" spans="1:19" ht="12.75">
      <c r="A95" s="111">
        <v>59</v>
      </c>
      <c r="B95" s="111">
        <v>0.840000000000001</v>
      </c>
      <c r="C95" s="111">
        <f>((((MIN((($F$8*EXP((((B95))/$C$17)*$G$8))*1000/1.12/$I$8*RI),$B$20)*$I$8*$H$8)-(MIN((($F$8*EXP((((B95))/$C$17)*$G$8))*1000/1.12/$I$8),$B$20)*$I$8*$H$8))*IF(NVTable_Data_Entry!$D$68=1,0.313,IF(NVTable_Data_Entry!$D$68=2,0.263,0.403))))/0.6</f>
        <v>0</v>
      </c>
      <c r="D95" s="111">
        <f t="shared" si="0"/>
        <v>0.009333333333333345</v>
      </c>
      <c r="E95" s="111">
        <f t="shared" si="1"/>
        <v>90</v>
      </c>
      <c r="F95" s="111">
        <f t="shared" si="2"/>
        <v>90</v>
      </c>
      <c r="G95" s="111">
        <f t="shared" si="3"/>
        <v>0</v>
      </c>
      <c r="H95" s="111">
        <f t="shared" si="5"/>
        <v>0</v>
      </c>
      <c r="I95" s="111">
        <f t="shared" si="4"/>
        <v>0</v>
      </c>
      <c r="J95" s="111"/>
      <c r="K95" s="111"/>
      <c r="L95" s="111"/>
      <c r="M95" s="111"/>
      <c r="N95" s="111"/>
      <c r="O95" s="111"/>
      <c r="S95" s="124"/>
    </row>
    <row r="96" spans="1:19" ht="12.75">
      <c r="A96" s="111">
        <v>60</v>
      </c>
      <c r="B96" s="111">
        <v>0.850000000000001</v>
      </c>
      <c r="C96" s="111">
        <f>((((MIN((($F$8*EXP((((B96))/$C$17)*$G$8))*1000/1.12/$I$8*RI),$B$20)*$I$8*$H$8)-(MIN((($F$8*EXP((((B96))/$C$17)*$G$8))*1000/1.12/$I$8),$B$20)*$I$8*$H$8))*IF(NVTable_Data_Entry!$D$68=1,0.313,IF(NVTable_Data_Entry!$D$68=2,0.263,0.403))))/0.6</f>
        <v>0</v>
      </c>
      <c r="D96" s="111">
        <f t="shared" si="0"/>
        <v>0.009444444444444455</v>
      </c>
      <c r="E96" s="111">
        <f t="shared" si="1"/>
        <v>90</v>
      </c>
      <c r="F96" s="111">
        <f t="shared" si="2"/>
        <v>90</v>
      </c>
      <c r="G96" s="111">
        <f t="shared" si="3"/>
        <v>0</v>
      </c>
      <c r="H96" s="111">
        <f t="shared" si="5"/>
        <v>0</v>
      </c>
      <c r="I96" s="111">
        <f t="shared" si="4"/>
        <v>0</v>
      </c>
      <c r="J96" s="111"/>
      <c r="K96" s="111"/>
      <c r="L96" s="111"/>
      <c r="M96" s="111"/>
      <c r="N96" s="111"/>
      <c r="O96" s="111"/>
      <c r="S96" s="124"/>
    </row>
    <row r="97" spans="1:19" ht="12.75">
      <c r="A97" s="111">
        <v>61</v>
      </c>
      <c r="B97" s="111">
        <v>0.860000000000001</v>
      </c>
      <c r="C97" s="111">
        <f>((((MIN((($F$8*EXP((((B97))/$C$17)*$G$8))*1000/1.12/$I$8*RI),$B$20)*$I$8*$H$8)-(MIN((($F$8*EXP((((B97))/$C$17)*$G$8))*1000/1.12/$I$8),$B$20)*$I$8*$H$8))*IF(NVTable_Data_Entry!$D$68=1,0.313,IF(NVTable_Data_Entry!$D$68=2,0.263,0.403))))/0.6</f>
        <v>0</v>
      </c>
      <c r="D97" s="111">
        <f t="shared" si="0"/>
        <v>0.009555555555555567</v>
      </c>
      <c r="E97" s="111">
        <f t="shared" si="1"/>
        <v>90</v>
      </c>
      <c r="F97" s="111">
        <f t="shared" si="2"/>
        <v>90</v>
      </c>
      <c r="G97" s="111">
        <f t="shared" si="3"/>
        <v>0</v>
      </c>
      <c r="H97" s="111">
        <f t="shared" si="5"/>
        <v>0</v>
      </c>
      <c r="I97" s="111">
        <f t="shared" si="4"/>
        <v>0</v>
      </c>
      <c r="J97" s="111"/>
      <c r="K97" s="111"/>
      <c r="L97" s="111"/>
      <c r="M97" s="111"/>
      <c r="N97" s="111"/>
      <c r="O97" s="111"/>
      <c r="S97" s="124"/>
    </row>
    <row r="98" spans="1:15" ht="12.75">
      <c r="A98" s="111">
        <v>62</v>
      </c>
      <c r="B98" s="111">
        <v>0.870000000000001</v>
      </c>
      <c r="C98" s="111">
        <f>((((MIN((($F$8*EXP((((B98))/$C$17)*$G$8))*1000/1.12/$I$8*RI),$B$20)*$I$8*$H$8)-(MIN((($F$8*EXP((((B98))/$C$17)*$G$8))*1000/1.12/$I$8),$B$20)*$I$8*$H$8))*IF(NVTable_Data_Entry!$D$68=1,0.313,IF(NVTable_Data_Entry!$D$68=2,0.263,0.403))))/0.6</f>
        <v>0</v>
      </c>
      <c r="D98" s="111">
        <f t="shared" si="0"/>
        <v>0.009666666666666678</v>
      </c>
      <c r="E98" s="111">
        <f t="shared" si="1"/>
        <v>90</v>
      </c>
      <c r="F98" s="111">
        <f t="shared" si="2"/>
        <v>90</v>
      </c>
      <c r="G98" s="111">
        <f t="shared" si="3"/>
        <v>0</v>
      </c>
      <c r="H98" s="111">
        <f t="shared" si="5"/>
        <v>0</v>
      </c>
      <c r="I98" s="111">
        <f t="shared" si="4"/>
        <v>0</v>
      </c>
      <c r="J98" s="111"/>
      <c r="K98" s="111"/>
      <c r="L98" s="111"/>
      <c r="M98" s="111"/>
      <c r="N98" s="111"/>
      <c r="O98" s="111"/>
    </row>
    <row r="99" spans="1:15" ht="13.5" thickBot="1">
      <c r="A99" s="120">
        <v>63</v>
      </c>
      <c r="B99" s="120">
        <v>0.880000000000001</v>
      </c>
      <c r="C99" s="120">
        <f>((((MIN((($F$8*EXP((((B99))/$C$17)*$G$8))*1000/1.12/$I$8*RI),$B$20)*$I$8*$H$8)-(MIN((($F$8*EXP((((B99))/$C$17)*$G$8))*1000/1.12/$I$8),$B$20)*$I$8*$H$8))*IF(NVTable_Data_Entry!$D$68=1,0.313,IF(NVTable_Data_Entry!$D$68=2,0.263,0.403))))/0.6</f>
        <v>0</v>
      </c>
      <c r="D99" s="120">
        <f t="shared" si="0"/>
        <v>0.00977777777777779</v>
      </c>
      <c r="E99" s="120">
        <f t="shared" si="1"/>
        <v>90</v>
      </c>
      <c r="F99" s="120">
        <f t="shared" si="2"/>
        <v>90</v>
      </c>
      <c r="G99" s="120">
        <f t="shared" si="3"/>
        <v>0</v>
      </c>
      <c r="H99" s="111">
        <f t="shared" si="5"/>
        <v>0</v>
      </c>
      <c r="I99" s="120">
        <f t="shared" si="4"/>
        <v>0</v>
      </c>
      <c r="J99" s="111"/>
      <c r="K99" s="111"/>
      <c r="L99" s="111"/>
      <c r="M99" s="111"/>
      <c r="N99" s="111"/>
      <c r="O99" s="111"/>
    </row>
    <row r="100" spans="8:9" ht="12.75">
      <c r="H100" s="88"/>
      <c r="I100" s="88"/>
    </row>
    <row r="101" spans="8:9" ht="12.75">
      <c r="H101" s="88"/>
      <c r="I101" s="88"/>
    </row>
    <row r="102" spans="1:9" ht="12.75">
      <c r="A102" s="121" t="s">
        <v>43</v>
      </c>
      <c r="B102" s="121"/>
      <c r="C102" s="121"/>
      <c r="H102" s="88"/>
      <c r="I102" s="88"/>
    </row>
    <row r="103" spans="1:9" ht="12.75">
      <c r="A103" s="122" t="s">
        <v>33</v>
      </c>
      <c r="B103" s="122" t="s">
        <v>45</v>
      </c>
      <c r="C103" s="122" t="s">
        <v>44</v>
      </c>
      <c r="D103" s="123" t="s">
        <v>46</v>
      </c>
      <c r="H103" s="88"/>
      <c r="I103" s="88"/>
    </row>
    <row r="104" spans="1:9" ht="12.75">
      <c r="A104" s="121">
        <v>1</v>
      </c>
      <c r="B104" s="31">
        <v>0.5656</v>
      </c>
      <c r="C104" s="31" t="s">
        <v>12</v>
      </c>
      <c r="D104" s="88">
        <v>2</v>
      </c>
      <c r="H104" s="88"/>
      <c r="I104" s="88"/>
    </row>
    <row r="105" spans="1:9" ht="12.75">
      <c r="A105" s="121">
        <v>2</v>
      </c>
      <c r="B105" s="31">
        <v>0.701</v>
      </c>
      <c r="C105" s="31" t="s">
        <v>51</v>
      </c>
      <c r="H105" s="88"/>
      <c r="I105" s="88"/>
    </row>
    <row r="106" spans="8:9" ht="12.75">
      <c r="H106" s="88"/>
      <c r="I106" s="88"/>
    </row>
    <row r="107" spans="8:9" ht="12.75">
      <c r="H107" s="88"/>
      <c r="I107" s="88"/>
    </row>
    <row r="108" spans="8:9" ht="12.75">
      <c r="H108" s="88"/>
      <c r="I108" s="88"/>
    </row>
    <row r="109" spans="8:9" ht="12.75">
      <c r="H109" s="88"/>
      <c r="I109" s="88"/>
    </row>
    <row r="110" spans="8:9" ht="12.75">
      <c r="H110" s="88"/>
      <c r="I110" s="88"/>
    </row>
    <row r="111" spans="8:9" ht="12.75">
      <c r="H111" s="88"/>
      <c r="I111" s="88"/>
    </row>
    <row r="112" spans="8:9" ht="12.75">
      <c r="H112" s="88"/>
      <c r="I112" s="88"/>
    </row>
    <row r="113" spans="8:9" ht="12.75">
      <c r="H113" s="88"/>
      <c r="I113" s="88"/>
    </row>
    <row r="114" spans="8:9" ht="12.75">
      <c r="H114" s="88"/>
      <c r="I114" s="88"/>
    </row>
    <row r="115" spans="8:9" ht="12.75">
      <c r="H115" s="88"/>
      <c r="I115" s="88"/>
    </row>
    <row r="116" spans="8:9" ht="12.75">
      <c r="H116" s="88"/>
      <c r="I116" s="88"/>
    </row>
    <row r="117" spans="8:9" ht="12.75">
      <c r="H117" s="88"/>
      <c r="I117" s="88"/>
    </row>
    <row r="118" spans="8:9" ht="12.75">
      <c r="H118" s="88"/>
      <c r="I118" s="88"/>
    </row>
    <row r="119" spans="8:9" ht="12.75">
      <c r="H119" s="88"/>
      <c r="I119" s="88"/>
    </row>
    <row r="120" spans="8:9" ht="12.75">
      <c r="H120" s="88"/>
      <c r="I120" s="88"/>
    </row>
    <row r="121" spans="8:9" ht="12.75">
      <c r="H121" s="88"/>
      <c r="I121" s="88"/>
    </row>
    <row r="122" spans="8:9" ht="12.75">
      <c r="H122" s="88"/>
      <c r="I122" s="88"/>
    </row>
    <row r="123" spans="8:9" ht="12.75">
      <c r="H123" s="88"/>
      <c r="I123" s="88"/>
    </row>
    <row r="124" spans="8:9" ht="12.75">
      <c r="H124" s="88"/>
      <c r="I124" s="88"/>
    </row>
    <row r="125" spans="8:9" ht="12.75">
      <c r="H125" s="88"/>
      <c r="I125" s="88"/>
    </row>
    <row r="126" spans="8:9" ht="12.75">
      <c r="H126" s="88"/>
      <c r="I126" s="88"/>
    </row>
    <row r="127" spans="8:9" ht="12.75">
      <c r="H127" s="88"/>
      <c r="I127" s="88"/>
    </row>
    <row r="128" spans="8:9" ht="12.75">
      <c r="H128" s="88"/>
      <c r="I128" s="88"/>
    </row>
    <row r="129" spans="8:9" ht="12.75">
      <c r="H129" s="88"/>
      <c r="I129" s="88"/>
    </row>
    <row r="130" spans="8:9" ht="12.75">
      <c r="H130" s="88"/>
      <c r="I130" s="88"/>
    </row>
    <row r="131" spans="8:9" ht="12.75">
      <c r="H131" s="88"/>
      <c r="I131" s="88"/>
    </row>
    <row r="132" spans="8:9" ht="12.75">
      <c r="H132" s="88"/>
      <c r="I132" s="88"/>
    </row>
    <row r="133" spans="8:9" ht="12.75">
      <c r="H133" s="88"/>
      <c r="I133" s="88"/>
    </row>
    <row r="134" spans="8:9" ht="12.75">
      <c r="H134" s="88"/>
      <c r="I134" s="88"/>
    </row>
    <row r="135" spans="8:9" ht="12.75">
      <c r="H135" s="88"/>
      <c r="I135" s="88"/>
    </row>
    <row r="136" spans="8:9" ht="12.75">
      <c r="H136" s="88"/>
      <c r="I136" s="88"/>
    </row>
    <row r="137" spans="8:9" ht="12.75">
      <c r="H137" s="88"/>
      <c r="I137" s="88"/>
    </row>
    <row r="138" spans="8:9" ht="12.75">
      <c r="H138" s="88"/>
      <c r="I138" s="88"/>
    </row>
    <row r="139" spans="8:9" ht="12.75">
      <c r="H139" s="88"/>
      <c r="I139" s="88"/>
    </row>
    <row r="140" spans="8:9" ht="12.75">
      <c r="H140" s="88"/>
      <c r="I140" s="88"/>
    </row>
    <row r="141" spans="8:9" ht="12.75">
      <c r="H141" s="88"/>
      <c r="I141" s="88"/>
    </row>
    <row r="142" spans="8:9" ht="12.75">
      <c r="H142" s="88"/>
      <c r="I142" s="88"/>
    </row>
    <row r="143" spans="8:9" ht="12.75">
      <c r="H143" s="88"/>
      <c r="I143" s="88"/>
    </row>
    <row r="144" spans="8:9" ht="12.75">
      <c r="H144" s="88"/>
      <c r="I144" s="88"/>
    </row>
    <row r="145" spans="8:9" ht="12.75">
      <c r="H145" s="88"/>
      <c r="I145" s="88"/>
    </row>
    <row r="146" spans="8:9" ht="12.75">
      <c r="H146" s="88"/>
      <c r="I146" s="88"/>
    </row>
    <row r="147" spans="8:9" ht="12.75">
      <c r="H147" s="88"/>
      <c r="I147" s="88"/>
    </row>
    <row r="148" spans="8:9" ht="12.75">
      <c r="H148" s="88"/>
      <c r="I148" s="88"/>
    </row>
    <row r="149" spans="8:9" ht="12.75">
      <c r="H149" s="88"/>
      <c r="I149" s="88"/>
    </row>
    <row r="150" spans="8:9" ht="12.75">
      <c r="H150" s="88"/>
      <c r="I150" s="88"/>
    </row>
    <row r="151" spans="8:9" ht="12.75">
      <c r="H151" s="88"/>
      <c r="I151" s="88"/>
    </row>
    <row r="152" spans="8:9" ht="12.75">
      <c r="H152" s="88"/>
      <c r="I152" s="88"/>
    </row>
    <row r="153" spans="8:9" ht="12.75">
      <c r="H153" s="88"/>
      <c r="I153" s="88"/>
    </row>
    <row r="154" spans="8:9" ht="12.75">
      <c r="H154" s="88"/>
      <c r="I154" s="88"/>
    </row>
    <row r="155" spans="8:9" ht="12.75">
      <c r="H155" s="88"/>
      <c r="I155" s="88"/>
    </row>
    <row r="156" spans="8:9" ht="12.75">
      <c r="H156" s="88"/>
      <c r="I156" s="88"/>
    </row>
    <row r="157" spans="8:9" ht="12.75">
      <c r="H157" s="88"/>
      <c r="I157" s="88"/>
    </row>
    <row r="158" spans="8:9" ht="12.75">
      <c r="H158" s="88"/>
      <c r="I158" s="88"/>
    </row>
    <row r="159" spans="8:9" ht="12.75">
      <c r="H159" s="88"/>
      <c r="I159" s="88"/>
    </row>
    <row r="160" spans="8:9" ht="12.75">
      <c r="H160" s="88"/>
      <c r="I160" s="88"/>
    </row>
    <row r="161" spans="8:9" ht="12.75">
      <c r="H161" s="88"/>
      <c r="I161" s="88"/>
    </row>
    <row r="162" spans="8:9" ht="12.75">
      <c r="H162" s="88"/>
      <c r="I162" s="88"/>
    </row>
    <row r="163" spans="8:9" ht="12.75">
      <c r="H163" s="88"/>
      <c r="I163" s="88"/>
    </row>
    <row r="164" spans="8:9" ht="12.75">
      <c r="H164" s="88"/>
      <c r="I164" s="88"/>
    </row>
    <row r="165" spans="8:9" ht="12.75">
      <c r="H165" s="88"/>
      <c r="I165" s="88"/>
    </row>
    <row r="166" spans="8:9" ht="12.75">
      <c r="H166" s="88"/>
      <c r="I166" s="88"/>
    </row>
    <row r="167" spans="8:9" ht="12.75">
      <c r="H167" s="88"/>
      <c r="I167" s="88"/>
    </row>
    <row r="168" spans="8:9" ht="12.75">
      <c r="H168" s="88"/>
      <c r="I168" s="88"/>
    </row>
    <row r="169" spans="8:9" ht="12.75">
      <c r="H169" s="88"/>
      <c r="I169" s="88"/>
    </row>
    <row r="170" spans="8:9" ht="12.75">
      <c r="H170" s="88"/>
      <c r="I170" s="88"/>
    </row>
    <row r="171" spans="8:9" ht="12.75">
      <c r="H171" s="88"/>
      <c r="I171" s="88"/>
    </row>
    <row r="172" spans="8:9" ht="12.75">
      <c r="H172" s="88"/>
      <c r="I172" s="88"/>
    </row>
    <row r="173" spans="8:9" ht="12.75">
      <c r="H173" s="88"/>
      <c r="I173" s="88"/>
    </row>
    <row r="174" spans="8:9" ht="12.75">
      <c r="H174" s="88"/>
      <c r="I174" s="88"/>
    </row>
    <row r="175" spans="8:9" ht="12.75">
      <c r="H175" s="88"/>
      <c r="I175" s="88"/>
    </row>
    <row r="176" spans="8:9" ht="12.75">
      <c r="H176" s="88"/>
      <c r="I176" s="88"/>
    </row>
    <row r="177" spans="8:9" ht="12.75">
      <c r="H177" s="88"/>
      <c r="I177" s="88"/>
    </row>
    <row r="178" spans="8:9" ht="12.75">
      <c r="H178" s="88"/>
      <c r="I178" s="88"/>
    </row>
    <row r="179" spans="8:9" ht="12.75">
      <c r="H179" s="88"/>
      <c r="I179" s="88"/>
    </row>
    <row r="180" spans="8:9" ht="12.75">
      <c r="H180" s="88"/>
      <c r="I180" s="88"/>
    </row>
    <row r="181" spans="8:9" ht="12.75">
      <c r="H181" s="88"/>
      <c r="I181" s="88"/>
    </row>
    <row r="182" spans="8:9" ht="12.75">
      <c r="H182" s="88"/>
      <c r="I182" s="88"/>
    </row>
    <row r="183" spans="8:9" ht="12.75">
      <c r="H183" s="88"/>
      <c r="I183" s="88"/>
    </row>
    <row r="184" spans="8:9" ht="12.75">
      <c r="H184" s="88"/>
      <c r="I184" s="88"/>
    </row>
    <row r="185" spans="8:9" ht="12.75">
      <c r="H185" s="88"/>
      <c r="I185" s="88"/>
    </row>
    <row r="186" spans="8:9" ht="12.75">
      <c r="H186" s="88"/>
      <c r="I186" s="88"/>
    </row>
    <row r="187" spans="8:9" ht="12.75">
      <c r="H187" s="88"/>
      <c r="I187" s="88"/>
    </row>
    <row r="188" spans="8:9" ht="12.75">
      <c r="H188" s="88"/>
      <c r="I188" s="88"/>
    </row>
    <row r="189" spans="8:9" ht="12.75">
      <c r="H189" s="88"/>
      <c r="I189" s="88"/>
    </row>
    <row r="190" spans="8:9" ht="12.75">
      <c r="H190" s="88"/>
      <c r="I190" s="88"/>
    </row>
    <row r="191" spans="8:9" ht="12.75">
      <c r="H191" s="88"/>
      <c r="I191" s="88"/>
    </row>
    <row r="192" spans="8:9" ht="12.75">
      <c r="H192" s="88"/>
      <c r="I192" s="88"/>
    </row>
    <row r="193" spans="8:9" ht="12.75">
      <c r="H193" s="88"/>
      <c r="I193" s="88"/>
    </row>
    <row r="194" spans="8:9" ht="12.75">
      <c r="H194" s="88"/>
      <c r="I194" s="88"/>
    </row>
    <row r="195" spans="8:9" ht="12.75">
      <c r="H195" s="88"/>
      <c r="I195" s="88"/>
    </row>
    <row r="196" spans="8:9" ht="12.75">
      <c r="H196" s="88"/>
      <c r="I196" s="88"/>
    </row>
    <row r="197" spans="8:9" ht="12.75">
      <c r="H197" s="88"/>
      <c r="I197" s="88"/>
    </row>
    <row r="198" spans="8:9" ht="12.75">
      <c r="H198" s="88"/>
      <c r="I198" s="88"/>
    </row>
    <row r="199" spans="8:9" ht="12.75">
      <c r="H199" s="88"/>
      <c r="I199" s="88"/>
    </row>
    <row r="200" spans="8:9" ht="12.75">
      <c r="H200" s="88"/>
      <c r="I200" s="88"/>
    </row>
    <row r="201" spans="8:9" ht="12.75">
      <c r="H201" s="88"/>
      <c r="I201" s="88"/>
    </row>
    <row r="202" spans="8:9" ht="12.75">
      <c r="H202" s="88"/>
      <c r="I202" s="88"/>
    </row>
    <row r="203" spans="8:9" ht="12.75">
      <c r="H203" s="88"/>
      <c r="I203" s="88"/>
    </row>
    <row r="204" spans="8:9" ht="12.75">
      <c r="H204" s="88"/>
      <c r="I204" s="88"/>
    </row>
    <row r="205" spans="8:9" ht="12.75">
      <c r="H205" s="88"/>
      <c r="I205" s="88"/>
    </row>
    <row r="206" spans="8:9" ht="12.75">
      <c r="H206" s="88"/>
      <c r="I206" s="88"/>
    </row>
    <row r="207" spans="8:9" ht="12.75">
      <c r="H207" s="88"/>
      <c r="I207" s="88"/>
    </row>
    <row r="208" spans="8:9" ht="12.75">
      <c r="H208" s="88"/>
      <c r="I208" s="88"/>
    </row>
    <row r="209" spans="8:9" ht="12.75">
      <c r="H209" s="88"/>
      <c r="I209" s="88"/>
    </row>
    <row r="210" spans="8:9" ht="12.75">
      <c r="H210" s="88"/>
      <c r="I210" s="88"/>
    </row>
    <row r="211" spans="8:9" ht="12.75">
      <c r="H211" s="88"/>
      <c r="I211" s="88"/>
    </row>
    <row r="212" spans="8:9" ht="12.75">
      <c r="H212" s="88"/>
      <c r="I212" s="88"/>
    </row>
    <row r="213" spans="8:9" ht="12.75">
      <c r="H213" s="88"/>
      <c r="I213" s="88"/>
    </row>
    <row r="214" spans="8:9" ht="12.75">
      <c r="H214" s="88"/>
      <c r="I214" s="88"/>
    </row>
    <row r="215" spans="8:9" ht="12.75">
      <c r="H215" s="88"/>
      <c r="I215" s="88"/>
    </row>
    <row r="216" spans="8:9" ht="12.75">
      <c r="H216" s="88"/>
      <c r="I216" s="88"/>
    </row>
    <row r="217" spans="8:9" ht="12.75">
      <c r="H217" s="88"/>
      <c r="I217" s="88"/>
    </row>
    <row r="218" spans="8:9" ht="12.75">
      <c r="H218" s="88"/>
      <c r="I218" s="88"/>
    </row>
    <row r="219" spans="8:9" ht="12.75">
      <c r="H219" s="88"/>
      <c r="I219" s="88"/>
    </row>
    <row r="220" spans="8:9" ht="12.75">
      <c r="H220" s="88"/>
      <c r="I220" s="88"/>
    </row>
    <row r="221" spans="8:9" ht="12.75">
      <c r="H221" s="88"/>
      <c r="I221" s="88"/>
    </row>
    <row r="222" spans="8:9" ht="12.75">
      <c r="H222" s="88"/>
      <c r="I222" s="88"/>
    </row>
    <row r="223" spans="8:9" ht="12.75">
      <c r="H223" s="88"/>
      <c r="I223" s="88"/>
    </row>
    <row r="224" spans="8:9" ht="12.75">
      <c r="H224" s="88"/>
      <c r="I224" s="88"/>
    </row>
    <row r="225" spans="8:9" ht="12.75">
      <c r="H225" s="88"/>
      <c r="I225" s="88"/>
    </row>
    <row r="226" spans="8:9" ht="12.75">
      <c r="H226" s="88"/>
      <c r="I226" s="88"/>
    </row>
    <row r="227" spans="8:9" ht="12.75">
      <c r="H227" s="88"/>
      <c r="I227" s="88"/>
    </row>
    <row r="228" spans="8:9" ht="12.75">
      <c r="H228" s="88"/>
      <c r="I228" s="88"/>
    </row>
    <row r="229" spans="8:9" ht="12.75">
      <c r="H229" s="88"/>
      <c r="I229" s="88"/>
    </row>
    <row r="230" spans="8:9" ht="12.75">
      <c r="H230" s="88"/>
      <c r="I230" s="88"/>
    </row>
    <row r="231" spans="8:9" ht="12.75">
      <c r="H231" s="88"/>
      <c r="I231" s="88"/>
    </row>
    <row r="232" spans="8:9" ht="12.75">
      <c r="H232" s="88"/>
      <c r="I232" s="88"/>
    </row>
    <row r="233" spans="8:9" ht="12.75">
      <c r="H233" s="88"/>
      <c r="I233" s="88"/>
    </row>
    <row r="234" spans="8:9" ht="12.75">
      <c r="H234" s="88"/>
      <c r="I234" s="88"/>
    </row>
    <row r="235" spans="8:9" ht="12.75">
      <c r="H235" s="88"/>
      <c r="I235" s="88"/>
    </row>
    <row r="236" spans="8:9" ht="12.75">
      <c r="H236" s="88"/>
      <c r="I236" s="88"/>
    </row>
    <row r="237" spans="8:9" ht="12.75">
      <c r="H237" s="88"/>
      <c r="I237" s="88"/>
    </row>
    <row r="238" spans="8:9" ht="12.75">
      <c r="H238" s="88"/>
      <c r="I238" s="88"/>
    </row>
    <row r="239" spans="8:9" ht="12.75">
      <c r="H239" s="88"/>
      <c r="I239" s="88"/>
    </row>
    <row r="240" spans="8:9" ht="12.75">
      <c r="H240" s="88"/>
      <c r="I240" s="88"/>
    </row>
    <row r="241" spans="8:9" ht="12.75">
      <c r="H241" s="88"/>
      <c r="I241" s="88"/>
    </row>
    <row r="242" spans="8:9" ht="12.75">
      <c r="H242" s="88"/>
      <c r="I242" s="88"/>
    </row>
    <row r="243" spans="8:9" ht="12.75">
      <c r="H243" s="88"/>
      <c r="I243" s="88"/>
    </row>
    <row r="244" spans="8:9" ht="12.75">
      <c r="H244" s="88"/>
      <c r="I244" s="88"/>
    </row>
    <row r="245" spans="8:9" ht="12.75">
      <c r="H245" s="88"/>
      <c r="I245" s="88"/>
    </row>
    <row r="246" spans="8:9" ht="12.75">
      <c r="H246" s="88"/>
      <c r="I246" s="88"/>
    </row>
    <row r="247" spans="8:9" ht="12.75">
      <c r="H247" s="88"/>
      <c r="I247" s="88"/>
    </row>
    <row r="248" spans="8:9" ht="12.75">
      <c r="H248" s="88"/>
      <c r="I248" s="88"/>
    </row>
    <row r="249" spans="8:9" ht="12.75">
      <c r="H249" s="88"/>
      <c r="I249" s="88"/>
    </row>
    <row r="250" spans="8:9" ht="12.75">
      <c r="H250" s="88"/>
      <c r="I250" s="88"/>
    </row>
    <row r="251" spans="8:9" ht="12.75">
      <c r="H251" s="88"/>
      <c r="I251" s="88"/>
    </row>
    <row r="252" spans="8:9" ht="12.75">
      <c r="H252" s="88"/>
      <c r="I252" s="88"/>
    </row>
    <row r="253" spans="8:9" ht="12.75">
      <c r="H253" s="88"/>
      <c r="I253" s="88"/>
    </row>
    <row r="254" spans="8:9" ht="12.75">
      <c r="H254" s="88"/>
      <c r="I254" s="88"/>
    </row>
    <row r="255" spans="8:9" ht="12.75">
      <c r="H255" s="88"/>
      <c r="I255" s="88"/>
    </row>
    <row r="256" spans="8:9" ht="12.75">
      <c r="H256" s="88"/>
      <c r="I256" s="88"/>
    </row>
    <row r="257" spans="8:9" ht="12.75">
      <c r="H257" s="88"/>
      <c r="I257" s="88"/>
    </row>
    <row r="258" spans="8:9" ht="12.75">
      <c r="H258" s="88"/>
      <c r="I258" s="88"/>
    </row>
    <row r="259" spans="8:9" ht="12.75">
      <c r="H259" s="88"/>
      <c r="I259" s="88"/>
    </row>
    <row r="260" spans="8:9" ht="12.75">
      <c r="H260" s="88"/>
      <c r="I260" s="88"/>
    </row>
    <row r="261" spans="8:9" ht="12.75">
      <c r="H261" s="88"/>
      <c r="I261" s="88"/>
    </row>
    <row r="262" spans="8:9" ht="12.75">
      <c r="H262" s="88"/>
      <c r="I262" s="88"/>
    </row>
    <row r="263" spans="8:9" ht="12.75">
      <c r="H263" s="88"/>
      <c r="I263" s="88"/>
    </row>
    <row r="264" spans="8:9" ht="12.75">
      <c r="H264" s="88"/>
      <c r="I264" s="88"/>
    </row>
    <row r="265" spans="8:9" ht="12.75">
      <c r="H265" s="88"/>
      <c r="I265" s="88"/>
    </row>
    <row r="266" spans="8:9" ht="12.75">
      <c r="H266" s="88"/>
      <c r="I266" s="88"/>
    </row>
    <row r="267" spans="8:9" ht="12.75">
      <c r="H267" s="88"/>
      <c r="I267" s="88"/>
    </row>
    <row r="268" spans="8:9" ht="12.75">
      <c r="H268" s="88"/>
      <c r="I268" s="88"/>
    </row>
    <row r="269" spans="8:9" ht="12.75">
      <c r="H269" s="88"/>
      <c r="I269" s="88"/>
    </row>
    <row r="270" spans="8:9" ht="12.75">
      <c r="H270" s="88"/>
      <c r="I270" s="88"/>
    </row>
    <row r="271" spans="8:9" ht="12.75">
      <c r="H271" s="88"/>
      <c r="I271" s="88"/>
    </row>
    <row r="272" spans="8:9" ht="12.75">
      <c r="H272" s="88"/>
      <c r="I272" s="88"/>
    </row>
    <row r="273" spans="8:9" ht="12.75">
      <c r="H273" s="88"/>
      <c r="I273" s="88"/>
    </row>
    <row r="274" spans="8:9" ht="12.75">
      <c r="H274" s="88"/>
      <c r="I274" s="88"/>
    </row>
    <row r="275" spans="8:9" ht="12.75">
      <c r="H275" s="88"/>
      <c r="I275" s="88"/>
    </row>
    <row r="276" spans="8:9" ht="12.75">
      <c r="H276" s="88"/>
      <c r="I276" s="88"/>
    </row>
    <row r="277" spans="8:9" ht="12.75">
      <c r="H277" s="88"/>
      <c r="I277" s="88"/>
    </row>
    <row r="278" spans="8:9" ht="12.75">
      <c r="H278" s="88"/>
      <c r="I278" s="88"/>
    </row>
    <row r="279" spans="8:9" ht="12.75">
      <c r="H279" s="88"/>
      <c r="I279" s="88"/>
    </row>
    <row r="280" spans="8:9" ht="12.75">
      <c r="H280" s="88"/>
      <c r="I280" s="88"/>
    </row>
    <row r="281" spans="8:9" ht="12.75">
      <c r="H281" s="88"/>
      <c r="I281" s="88"/>
    </row>
    <row r="282" spans="8:9" ht="12.75">
      <c r="H282" s="88"/>
      <c r="I282" s="88"/>
    </row>
    <row r="283" spans="8:9" ht="12.75">
      <c r="H283" s="88"/>
      <c r="I283" s="88"/>
    </row>
    <row r="284" spans="8:9" ht="12.75">
      <c r="H284" s="88"/>
      <c r="I284" s="88"/>
    </row>
    <row r="285" spans="8:9" ht="12.75">
      <c r="H285" s="88"/>
      <c r="I285" s="88"/>
    </row>
    <row r="286" spans="8:9" ht="12.75">
      <c r="H286" s="88"/>
      <c r="I286" s="88"/>
    </row>
    <row r="287" spans="8:9" ht="12.75">
      <c r="H287" s="88"/>
      <c r="I287" s="88"/>
    </row>
    <row r="288" spans="8:9" ht="12.75">
      <c r="H288" s="88"/>
      <c r="I288" s="88"/>
    </row>
    <row r="289" spans="8:9" ht="12.75">
      <c r="H289" s="88"/>
      <c r="I289" s="88"/>
    </row>
    <row r="290" spans="8:9" ht="12.75">
      <c r="H290" s="88"/>
      <c r="I290" s="88"/>
    </row>
    <row r="291" spans="8:9" ht="12.75">
      <c r="H291" s="88"/>
      <c r="I291" s="88"/>
    </row>
    <row r="292" spans="8:9" ht="12.75">
      <c r="H292" s="88"/>
      <c r="I292" s="88"/>
    </row>
    <row r="293" spans="8:9" ht="12.75">
      <c r="H293" s="88"/>
      <c r="I293" s="88"/>
    </row>
    <row r="294" spans="8:9" ht="12.75">
      <c r="H294" s="88"/>
      <c r="I294" s="88"/>
    </row>
    <row r="295" spans="8:9" ht="12.75">
      <c r="H295" s="88"/>
      <c r="I295" s="88"/>
    </row>
    <row r="296" spans="8:9" ht="12.75">
      <c r="H296" s="88"/>
      <c r="I296" s="88"/>
    </row>
    <row r="297" spans="8:9" ht="12.75">
      <c r="H297" s="88"/>
      <c r="I297" s="88"/>
    </row>
    <row r="298" spans="8:9" ht="12.75">
      <c r="H298" s="88"/>
      <c r="I298" s="88"/>
    </row>
    <row r="299" spans="8:9" ht="12.75">
      <c r="H299" s="88"/>
      <c r="I299" s="88"/>
    </row>
    <row r="300" spans="8:9" ht="12.75">
      <c r="H300" s="88"/>
      <c r="I300" s="88"/>
    </row>
    <row r="301" spans="8:9" ht="12.75">
      <c r="H301" s="88"/>
      <c r="I301" s="88"/>
    </row>
    <row r="302" spans="8:9" ht="12.75">
      <c r="H302" s="88"/>
      <c r="I302" s="88"/>
    </row>
    <row r="303" spans="8:9" ht="12.75">
      <c r="H303" s="88"/>
      <c r="I303" s="88"/>
    </row>
    <row r="304" spans="8:9" ht="12.75">
      <c r="H304" s="88"/>
      <c r="I304" s="88"/>
    </row>
    <row r="305" spans="8:9" ht="12.75">
      <c r="H305" s="88"/>
      <c r="I305" s="88"/>
    </row>
    <row r="306" spans="8:9" ht="12.75">
      <c r="H306" s="88"/>
      <c r="I306" s="88"/>
    </row>
    <row r="307" spans="8:9" ht="12.75">
      <c r="H307" s="88"/>
      <c r="I307" s="88"/>
    </row>
    <row r="308" spans="8:9" ht="12.75">
      <c r="H308" s="88"/>
      <c r="I308" s="88"/>
    </row>
    <row r="309" spans="8:9" ht="12.75">
      <c r="H309" s="88"/>
      <c r="I309" s="88"/>
    </row>
    <row r="310" spans="8:9" ht="12.75">
      <c r="H310" s="88"/>
      <c r="I310" s="88"/>
    </row>
    <row r="311" spans="8:9" ht="12.75">
      <c r="H311" s="88"/>
      <c r="I311" s="88"/>
    </row>
    <row r="312" spans="8:9" ht="12.75">
      <c r="H312" s="88"/>
      <c r="I312" s="88"/>
    </row>
    <row r="313" spans="8:9" ht="12.75">
      <c r="H313" s="88"/>
      <c r="I313" s="88"/>
    </row>
    <row r="314" spans="8:9" ht="12.75">
      <c r="H314" s="88"/>
      <c r="I314" s="88"/>
    </row>
    <row r="315" spans="8:9" ht="12.75">
      <c r="H315" s="88"/>
      <c r="I315" s="88"/>
    </row>
    <row r="316" spans="8:9" ht="12.75">
      <c r="H316" s="88"/>
      <c r="I316" s="88"/>
    </row>
    <row r="317" spans="8:9" ht="12.75">
      <c r="H317" s="88"/>
      <c r="I317" s="88"/>
    </row>
    <row r="318" spans="8:9" ht="12.75">
      <c r="H318" s="88"/>
      <c r="I318" s="88"/>
    </row>
    <row r="319" spans="8:9" ht="12.75">
      <c r="H319" s="88"/>
      <c r="I319" s="88"/>
    </row>
    <row r="320" spans="8:9" ht="12.75">
      <c r="H320" s="88"/>
      <c r="I320" s="88"/>
    </row>
    <row r="321" spans="8:9" ht="12.75">
      <c r="H321" s="88"/>
      <c r="I321" s="88"/>
    </row>
    <row r="322" spans="8:9" ht="12.75">
      <c r="H322" s="88"/>
      <c r="I322" s="88"/>
    </row>
    <row r="323" spans="8:9" ht="12.75">
      <c r="H323" s="88"/>
      <c r="I323" s="88"/>
    </row>
    <row r="324" spans="8:9" ht="12.75">
      <c r="H324" s="88"/>
      <c r="I324" s="88"/>
    </row>
    <row r="325" spans="8:9" ht="12.75">
      <c r="H325" s="88"/>
      <c r="I325" s="88"/>
    </row>
    <row r="326" spans="8:9" ht="12.75">
      <c r="H326" s="88"/>
      <c r="I326" s="88"/>
    </row>
    <row r="327" spans="8:9" ht="12.75">
      <c r="H327" s="88"/>
      <c r="I327" s="88"/>
    </row>
    <row r="328" spans="8:9" ht="12.75">
      <c r="H328" s="88"/>
      <c r="I328" s="88"/>
    </row>
    <row r="329" spans="8:9" ht="12.75">
      <c r="H329" s="88"/>
      <c r="I329" s="88"/>
    </row>
    <row r="330" spans="8:9" ht="12.75">
      <c r="H330" s="88"/>
      <c r="I330" s="88"/>
    </row>
    <row r="331" spans="8:9" ht="12.75">
      <c r="H331" s="88"/>
      <c r="I331" s="88"/>
    </row>
    <row r="332" spans="8:9" ht="12.75">
      <c r="H332" s="88"/>
      <c r="I332" s="88"/>
    </row>
    <row r="333" spans="8:9" ht="12.75">
      <c r="H333" s="88"/>
      <c r="I333" s="88"/>
    </row>
    <row r="334" spans="8:9" ht="12.75">
      <c r="H334" s="88"/>
      <c r="I334" s="88"/>
    </row>
    <row r="335" spans="8:9" ht="12.75">
      <c r="H335" s="88"/>
      <c r="I335" s="88"/>
    </row>
    <row r="336" spans="8:9" ht="12.75">
      <c r="H336" s="88"/>
      <c r="I336" s="88"/>
    </row>
    <row r="337" spans="8:9" ht="12.75">
      <c r="H337" s="88"/>
      <c r="I337" s="88"/>
    </row>
    <row r="338" spans="8:9" ht="12.75">
      <c r="H338" s="88"/>
      <c r="I338" s="88"/>
    </row>
    <row r="339" spans="8:9" ht="12.75">
      <c r="H339" s="88"/>
      <c r="I339" s="88"/>
    </row>
    <row r="340" spans="8:9" ht="12.75">
      <c r="H340" s="88"/>
      <c r="I340" s="88"/>
    </row>
    <row r="341" spans="8:9" ht="12.75">
      <c r="H341" s="88"/>
      <c r="I341" s="88"/>
    </row>
    <row r="342" spans="8:9" ht="12.75">
      <c r="H342" s="88"/>
      <c r="I342" s="88"/>
    </row>
    <row r="343" spans="8:9" ht="12.75">
      <c r="H343" s="88"/>
      <c r="I343" s="88"/>
    </row>
    <row r="344" spans="8:9" ht="12.75">
      <c r="H344" s="88"/>
      <c r="I344" s="88"/>
    </row>
    <row r="345" spans="8:9" ht="12.75">
      <c r="H345" s="88"/>
      <c r="I345" s="88"/>
    </row>
    <row r="346" spans="8:9" ht="12.75">
      <c r="H346" s="88"/>
      <c r="I346" s="88"/>
    </row>
    <row r="347" spans="8:9" ht="12.75">
      <c r="H347" s="88"/>
      <c r="I347" s="88"/>
    </row>
    <row r="348" spans="8:9" ht="12.75">
      <c r="H348" s="88"/>
      <c r="I348" s="88"/>
    </row>
    <row r="349" spans="8:9" ht="12.75">
      <c r="H349" s="88"/>
      <c r="I349" s="88"/>
    </row>
    <row r="350" spans="8:9" ht="12.75">
      <c r="H350" s="88"/>
      <c r="I350" s="88"/>
    </row>
    <row r="351" spans="8:9" ht="12.75">
      <c r="H351" s="88"/>
      <c r="I351" s="88"/>
    </row>
    <row r="352" spans="8:9" ht="12.75">
      <c r="H352" s="88"/>
      <c r="I352" s="88"/>
    </row>
    <row r="353" spans="8:9" ht="12.75">
      <c r="H353" s="88"/>
      <c r="I353" s="88"/>
    </row>
    <row r="354" spans="8:9" ht="12.75">
      <c r="H354" s="88"/>
      <c r="I354" s="88"/>
    </row>
    <row r="355" spans="8:9" ht="12.75">
      <c r="H355" s="88"/>
      <c r="I355" s="88"/>
    </row>
    <row r="356" spans="8:9" ht="12.75">
      <c r="H356" s="88"/>
      <c r="I356" s="88"/>
    </row>
    <row r="357" spans="8:9" ht="12.75">
      <c r="H357" s="88"/>
      <c r="I357" s="88"/>
    </row>
    <row r="358" spans="8:9" ht="12.75">
      <c r="H358" s="88"/>
      <c r="I358" s="88"/>
    </row>
    <row r="359" spans="8:9" ht="12.75">
      <c r="H359" s="88"/>
      <c r="I359" s="88"/>
    </row>
    <row r="360" spans="8:9" ht="12.75">
      <c r="H360" s="88"/>
      <c r="I360" s="88"/>
    </row>
    <row r="361" spans="8:9" ht="12.75">
      <c r="H361" s="88"/>
      <c r="I361" s="88"/>
    </row>
    <row r="362" spans="8:9" ht="12.75">
      <c r="H362" s="88"/>
      <c r="I362" s="88"/>
    </row>
    <row r="363" spans="8:9" ht="12.75">
      <c r="H363" s="88"/>
      <c r="I363" s="88"/>
    </row>
    <row r="364" spans="8:9" ht="12.75">
      <c r="H364" s="88"/>
      <c r="I364" s="88"/>
    </row>
    <row r="365" spans="8:9" ht="12.75">
      <c r="H365" s="88"/>
      <c r="I365" s="88"/>
    </row>
    <row r="366" spans="8:9" ht="12.75">
      <c r="H366" s="88"/>
      <c r="I366" s="88"/>
    </row>
    <row r="367" spans="8:9" ht="12.75">
      <c r="H367" s="88"/>
      <c r="I367" s="88"/>
    </row>
    <row r="368" spans="8:9" ht="12.75">
      <c r="H368" s="88"/>
      <c r="I368" s="88"/>
    </row>
    <row r="369" spans="8:9" ht="12.75">
      <c r="H369" s="88"/>
      <c r="I369" s="88"/>
    </row>
    <row r="370" spans="8:9" ht="12.75">
      <c r="H370" s="88"/>
      <c r="I370" s="88"/>
    </row>
    <row r="371" spans="8:9" ht="12.75">
      <c r="H371" s="88"/>
      <c r="I371" s="88"/>
    </row>
    <row r="372" spans="8:9" ht="12.75">
      <c r="H372" s="88"/>
      <c r="I372" s="88"/>
    </row>
    <row r="373" spans="8:9" ht="12.75">
      <c r="H373" s="88"/>
      <c r="I373" s="88"/>
    </row>
    <row r="374" spans="8:9" ht="12.75">
      <c r="H374" s="88"/>
      <c r="I374" s="88"/>
    </row>
    <row r="375" spans="8:9" ht="12.75">
      <c r="H375" s="88"/>
      <c r="I375" s="88"/>
    </row>
    <row r="376" spans="8:9" ht="12.75">
      <c r="H376" s="88"/>
      <c r="I376" s="88"/>
    </row>
    <row r="377" spans="8:9" ht="12.75">
      <c r="H377" s="88"/>
      <c r="I377" s="88"/>
    </row>
    <row r="378" spans="8:9" ht="12.75">
      <c r="H378" s="88"/>
      <c r="I378" s="88"/>
    </row>
    <row r="379" spans="8:9" ht="12.75">
      <c r="H379" s="88"/>
      <c r="I379" s="88"/>
    </row>
    <row r="380" spans="8:9" ht="12.75">
      <c r="H380" s="88"/>
      <c r="I380" s="88"/>
    </row>
    <row r="381" spans="8:9" ht="12.75">
      <c r="H381" s="88"/>
      <c r="I381" s="88"/>
    </row>
    <row r="382" spans="8:9" ht="12.75">
      <c r="H382" s="88"/>
      <c r="I382" s="88"/>
    </row>
    <row r="383" spans="8:9" ht="12.75">
      <c r="H383" s="88"/>
      <c r="I383" s="88"/>
    </row>
    <row r="384" spans="8:9" ht="12.75">
      <c r="H384" s="88"/>
      <c r="I384" s="88"/>
    </row>
    <row r="385" spans="8:9" ht="12.75">
      <c r="H385" s="88"/>
      <c r="I385" s="88"/>
    </row>
    <row r="386" spans="8:9" ht="12.75">
      <c r="H386" s="88"/>
      <c r="I386" s="88"/>
    </row>
    <row r="387" spans="8:9" ht="12.75">
      <c r="H387" s="88"/>
      <c r="I387" s="88"/>
    </row>
    <row r="388" spans="8:9" ht="12.75">
      <c r="H388" s="88"/>
      <c r="I388" s="88"/>
    </row>
    <row r="389" spans="8:9" ht="12.75">
      <c r="H389" s="88"/>
      <c r="I389" s="88"/>
    </row>
    <row r="390" spans="8:9" ht="12.75">
      <c r="H390" s="88"/>
      <c r="I390" s="88"/>
    </row>
    <row r="391" spans="8:9" ht="12.75">
      <c r="H391" s="88"/>
      <c r="I391" s="88"/>
    </row>
    <row r="392" spans="8:9" ht="12.75">
      <c r="H392" s="88"/>
      <c r="I392" s="88"/>
    </row>
    <row r="393" spans="8:9" ht="12.75">
      <c r="H393" s="88"/>
      <c r="I393" s="88"/>
    </row>
    <row r="394" spans="8:9" ht="12.75">
      <c r="H394" s="88"/>
      <c r="I394" s="88"/>
    </row>
    <row r="395" spans="8:9" ht="12.75">
      <c r="H395" s="88"/>
      <c r="I395" s="88"/>
    </row>
    <row r="396" spans="8:9" ht="12.75">
      <c r="H396" s="88"/>
      <c r="I396" s="88"/>
    </row>
    <row r="397" spans="8:9" ht="12.75">
      <c r="H397" s="88"/>
      <c r="I397" s="88"/>
    </row>
    <row r="398" spans="8:9" ht="12.75">
      <c r="H398" s="88"/>
      <c r="I398" s="88"/>
    </row>
    <row r="399" spans="8:9" ht="12.75">
      <c r="H399" s="88"/>
      <c r="I399" s="88"/>
    </row>
    <row r="400" spans="8:9" ht="12.75">
      <c r="H400" s="88"/>
      <c r="I400" s="88"/>
    </row>
    <row r="401" spans="8:9" ht="12.75">
      <c r="H401" s="88"/>
      <c r="I401" s="88"/>
    </row>
    <row r="402" spans="8:9" ht="12.75">
      <c r="H402" s="88"/>
      <c r="I402" s="88"/>
    </row>
    <row r="403" spans="8:9" ht="12.75">
      <c r="H403" s="88"/>
      <c r="I403" s="88"/>
    </row>
    <row r="404" spans="8:9" ht="12.75">
      <c r="H404" s="88"/>
      <c r="I404" s="88"/>
    </row>
    <row r="405" spans="8:9" ht="12.75">
      <c r="H405" s="88"/>
      <c r="I405" s="88"/>
    </row>
    <row r="406" spans="8:9" ht="12.75">
      <c r="H406" s="88"/>
      <c r="I406" s="88"/>
    </row>
    <row r="407" spans="8:9" ht="12.75">
      <c r="H407" s="88"/>
      <c r="I407" s="88"/>
    </row>
    <row r="408" spans="8:9" ht="12.75">
      <c r="H408" s="88"/>
      <c r="I408" s="88"/>
    </row>
    <row r="409" spans="8:9" ht="12.75">
      <c r="H409" s="88"/>
      <c r="I409" s="88"/>
    </row>
    <row r="410" spans="8:9" ht="12.75">
      <c r="H410" s="88"/>
      <c r="I410" s="88"/>
    </row>
    <row r="411" spans="8:9" ht="12.75">
      <c r="H411" s="88"/>
      <c r="I411" s="88"/>
    </row>
    <row r="412" spans="8:9" ht="12.75">
      <c r="H412" s="88"/>
      <c r="I412" s="88"/>
    </row>
    <row r="413" spans="8:9" ht="12.75">
      <c r="H413" s="88"/>
      <c r="I413" s="88"/>
    </row>
    <row r="414" spans="8:9" ht="12.75">
      <c r="H414" s="88"/>
      <c r="I414" s="88"/>
    </row>
    <row r="415" spans="8:9" ht="12.75">
      <c r="H415" s="88"/>
      <c r="I415" s="88"/>
    </row>
    <row r="416" spans="8:9" ht="12.75">
      <c r="H416" s="88"/>
      <c r="I416" s="88"/>
    </row>
    <row r="417" spans="8:9" ht="12.75">
      <c r="H417" s="88"/>
      <c r="I417" s="88"/>
    </row>
    <row r="418" spans="8:9" ht="12.75">
      <c r="H418" s="88"/>
      <c r="I418" s="88"/>
    </row>
    <row r="419" spans="8:9" ht="12.75">
      <c r="H419" s="88"/>
      <c r="I419" s="88"/>
    </row>
    <row r="420" spans="8:9" ht="12.75">
      <c r="H420" s="88"/>
      <c r="I420" s="88"/>
    </row>
    <row r="421" spans="8:9" ht="12.75">
      <c r="H421" s="88"/>
      <c r="I421" s="88"/>
    </row>
    <row r="422" spans="8:9" ht="12.75">
      <c r="H422" s="88"/>
      <c r="I422" s="88"/>
    </row>
    <row r="423" spans="8:9" ht="12.75">
      <c r="H423" s="88"/>
      <c r="I423" s="88"/>
    </row>
    <row r="424" spans="8:9" ht="12.75">
      <c r="H424" s="88"/>
      <c r="I424" s="88"/>
    </row>
    <row r="425" spans="8:9" ht="12.75">
      <c r="H425" s="88"/>
      <c r="I425" s="88"/>
    </row>
    <row r="426" spans="8:9" ht="12.75">
      <c r="H426" s="88"/>
      <c r="I426" s="88"/>
    </row>
    <row r="427" spans="8:9" ht="12.75">
      <c r="H427" s="88"/>
      <c r="I427" s="88"/>
    </row>
    <row r="428" spans="8:9" ht="12.75">
      <c r="H428" s="88"/>
      <c r="I428" s="88"/>
    </row>
    <row r="429" spans="8:9" ht="12.75">
      <c r="H429" s="88"/>
      <c r="I429" s="88"/>
    </row>
    <row r="430" spans="8:9" ht="12.75">
      <c r="H430" s="88"/>
      <c r="I430" s="88"/>
    </row>
  </sheetData>
  <sheetProtection selectLockedCells="1"/>
  <mergeCells count="5">
    <mergeCell ref="A33:F33"/>
    <mergeCell ref="H33:J33"/>
    <mergeCell ref="A1:I4"/>
    <mergeCell ref="A6:E6"/>
    <mergeCell ref="F6:I6"/>
  </mergeCells>
  <printOptions gridLines="1" headings="1"/>
  <pageMargins left="0.5" right="0.5" top="1" bottom="1" header="0.5" footer="0.5"/>
  <pageSetup horizontalDpi="200" verticalDpi="200" orientation="landscape" scale="9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S444"/>
  <sheetViews>
    <sheetView zoomScale="85" zoomScaleNormal="85" workbookViewId="0" topLeftCell="A1">
      <selection activeCell="H37" sqref="H37"/>
    </sheetView>
  </sheetViews>
  <sheetFormatPr defaultColWidth="9.140625" defaultRowHeight="12.75"/>
  <cols>
    <col min="1" max="1" width="9.140625" style="88" customWidth="1"/>
    <col min="2" max="2" width="14.28125" style="88" customWidth="1"/>
    <col min="3" max="3" width="13.421875" style="88" customWidth="1"/>
    <col min="4" max="4" width="11.57421875" style="88" customWidth="1"/>
    <col min="5" max="5" width="11.8515625" style="88" customWidth="1"/>
    <col min="6" max="6" width="11.00390625" style="88" customWidth="1"/>
    <col min="7" max="7" width="12.421875" style="88" customWidth="1"/>
    <col min="8" max="8" width="12.140625" style="124" customWidth="1"/>
    <col min="9" max="9" width="10.00390625" style="124" customWidth="1"/>
    <col min="10" max="10" width="7.00390625" style="88" customWidth="1"/>
    <col min="11" max="11" width="11.421875" style="88" customWidth="1"/>
    <col min="12" max="12" width="13.28125" style="88" customWidth="1"/>
    <col min="13" max="13" width="22.8515625" style="88" customWidth="1"/>
    <col min="14" max="16384" width="9.140625" style="88" customWidth="1"/>
  </cols>
  <sheetData>
    <row r="1" spans="1:12" ht="12.75">
      <c r="A1" s="244" t="s">
        <v>86</v>
      </c>
      <c r="B1" s="245"/>
      <c r="C1" s="245"/>
      <c r="D1" s="245"/>
      <c r="E1" s="245"/>
      <c r="F1" s="245"/>
      <c r="G1" s="245"/>
      <c r="H1" s="245"/>
      <c r="I1" s="245"/>
      <c r="J1" s="79"/>
      <c r="K1" s="79"/>
      <c r="L1" s="79"/>
    </row>
    <row r="2" spans="1:12" ht="12.75">
      <c r="A2" s="246"/>
      <c r="B2" s="245"/>
      <c r="C2" s="245"/>
      <c r="D2" s="245"/>
      <c r="E2" s="245"/>
      <c r="F2" s="245"/>
      <c r="G2" s="245"/>
      <c r="H2" s="245"/>
      <c r="I2" s="245"/>
      <c r="J2" s="79"/>
      <c r="K2" s="79"/>
      <c r="L2" s="79"/>
    </row>
    <row r="3" spans="1:12" ht="12.75">
      <c r="A3" s="245"/>
      <c r="B3" s="245"/>
      <c r="C3" s="245"/>
      <c r="D3" s="245"/>
      <c r="E3" s="245"/>
      <c r="F3" s="245"/>
      <c r="G3" s="245"/>
      <c r="H3" s="245"/>
      <c r="I3" s="245"/>
      <c r="J3" s="79"/>
      <c r="K3" s="79"/>
      <c r="L3" s="79"/>
    </row>
    <row r="4" spans="1:12" ht="12.75">
      <c r="A4" s="245"/>
      <c r="B4" s="245"/>
      <c r="C4" s="245"/>
      <c r="D4" s="245"/>
      <c r="E4" s="245"/>
      <c r="F4" s="245"/>
      <c r="G4" s="245"/>
      <c r="H4" s="245"/>
      <c r="I4" s="245"/>
      <c r="J4" s="79"/>
      <c r="K4" s="79"/>
      <c r="L4" s="79"/>
    </row>
    <row r="5" spans="1:12" ht="20.25">
      <c r="A5" s="80" t="str">
        <f>IF(NVTable_Data_Entry!L47=1,"OSU-NFOA Winter Wheat RI-EY Algorithm",IF(NVTable_Data_Entry!L47=2,"OSU-NFOA Spring Wheat RI-EY Algorithm","OSU-NFOA Corn RI-EY Algorithm"))</f>
        <v>OSU-NFOA Winter Wheat RI-EY Algorithm</v>
      </c>
      <c r="B5" s="78"/>
      <c r="C5" s="78"/>
      <c r="D5" s="78"/>
      <c r="E5" s="78"/>
      <c r="F5" s="78"/>
      <c r="G5" s="78"/>
      <c r="H5" s="78"/>
      <c r="I5" s="78"/>
      <c r="J5" s="79"/>
      <c r="K5" s="79"/>
      <c r="L5" s="79"/>
    </row>
    <row r="6" spans="1:12" ht="13.5" thickBot="1">
      <c r="A6" s="247" t="s">
        <v>15</v>
      </c>
      <c r="B6" s="248"/>
      <c r="C6" s="248"/>
      <c r="D6" s="248"/>
      <c r="E6" s="248"/>
      <c r="F6" s="248" t="s">
        <v>9</v>
      </c>
      <c r="G6" s="248"/>
      <c r="H6" s="248"/>
      <c r="I6" s="248"/>
      <c r="J6" s="81"/>
      <c r="K6" s="81"/>
      <c r="L6" s="81"/>
    </row>
    <row r="7" spans="1:12" ht="13.5" thickBot="1">
      <c r="A7" s="82"/>
      <c r="B7" s="83" t="s">
        <v>20</v>
      </c>
      <c r="C7" s="83" t="s">
        <v>21</v>
      </c>
      <c r="D7" s="96" t="s">
        <v>133</v>
      </c>
      <c r="E7" s="82"/>
      <c r="F7" s="82"/>
      <c r="G7" s="82"/>
      <c r="H7" s="84"/>
      <c r="I7" s="84"/>
      <c r="J7" s="82"/>
      <c r="K7" s="82"/>
      <c r="L7" s="82"/>
    </row>
    <row r="8" spans="1:12" ht="13.5" thickBot="1">
      <c r="A8" s="82"/>
      <c r="B8" s="85">
        <f>NVTable_Data_Entry!B8</f>
        <v>0.32</v>
      </c>
      <c r="C8" s="178">
        <f>NVTable_Data_Entry!C8</f>
        <v>0.7</v>
      </c>
      <c r="D8" s="130">
        <f>NVTable_Data_Entry!D8</f>
        <v>0.8</v>
      </c>
      <c r="E8" s="82"/>
      <c r="F8" s="86">
        <f>NVTable_Data_Entry!F8</f>
        <v>0.532</v>
      </c>
      <c r="G8" s="87">
        <f>NVTable_Data_Entry!G8</f>
        <v>270.1</v>
      </c>
      <c r="H8" s="87">
        <f>NVTable_Data_Entry!H8</f>
        <v>0.0239</v>
      </c>
      <c r="I8" s="87">
        <f>NVTable_Data_Entry!I8</f>
        <v>60</v>
      </c>
      <c r="J8" s="82"/>
      <c r="K8" s="82"/>
      <c r="L8" s="82"/>
    </row>
    <row r="9" spans="1:12" ht="12.75">
      <c r="A9" s="82"/>
      <c r="B9" s="84" t="s">
        <v>52</v>
      </c>
      <c r="C9" s="84"/>
      <c r="D9" s="82"/>
      <c r="E9" s="82"/>
      <c r="F9" s="82"/>
      <c r="G9" s="82"/>
      <c r="H9" s="84"/>
      <c r="I9" s="84"/>
      <c r="J9" s="82"/>
      <c r="K9" s="82"/>
      <c r="L9" s="82"/>
    </row>
    <row r="10" spans="1:12" ht="12.75">
      <c r="A10" s="82"/>
      <c r="B10" s="91" t="s">
        <v>50</v>
      </c>
      <c r="C10" s="84"/>
      <c r="D10" s="82"/>
      <c r="E10" s="125"/>
      <c r="F10" s="82"/>
      <c r="G10" s="82"/>
      <c r="H10" s="84"/>
      <c r="I10" s="84"/>
      <c r="J10" s="82"/>
      <c r="K10" s="82"/>
      <c r="L10" s="82"/>
    </row>
    <row r="11" spans="1:12" ht="12.75">
      <c r="A11" s="82"/>
      <c r="B11" s="82"/>
      <c r="C11" s="89"/>
      <c r="D11" s="82"/>
      <c r="E11" s="126"/>
      <c r="F11" s="82"/>
      <c r="G11" s="82"/>
      <c r="H11" s="84"/>
      <c r="I11" s="84"/>
      <c r="J11" s="82"/>
      <c r="K11" s="82"/>
      <c r="L11" s="82"/>
    </row>
    <row r="12" spans="1:12" ht="12.75">
      <c r="A12" s="82"/>
      <c r="B12" s="89"/>
      <c r="C12" s="89"/>
      <c r="D12" s="82"/>
      <c r="E12" s="90"/>
      <c r="F12" s="82"/>
      <c r="G12" s="82"/>
      <c r="H12" s="84"/>
      <c r="I12" s="84"/>
      <c r="J12" s="82"/>
      <c r="K12" s="82"/>
      <c r="L12" s="82"/>
    </row>
    <row r="13" spans="1:12" ht="12.75">
      <c r="A13" s="82"/>
      <c r="B13" s="91" t="s">
        <v>22</v>
      </c>
      <c r="C13" s="89"/>
      <c r="D13" s="82"/>
      <c r="E13" s="90"/>
      <c r="F13" s="83"/>
      <c r="G13" s="84"/>
      <c r="H13" s="84"/>
      <c r="I13" s="84"/>
      <c r="J13" s="82"/>
      <c r="K13" s="82"/>
      <c r="L13" s="82"/>
    </row>
    <row r="14" spans="1:12" ht="12.75">
      <c r="A14" s="82"/>
      <c r="B14" s="92">
        <f>NVTable_Data_Entry!B14</f>
        <v>0.6</v>
      </c>
      <c r="C14" s="84" t="s">
        <v>23</v>
      </c>
      <c r="D14" s="82"/>
      <c r="E14" s="90"/>
      <c r="F14" s="82"/>
      <c r="G14" s="82"/>
      <c r="H14" s="84"/>
      <c r="I14" s="84"/>
      <c r="J14" s="82"/>
      <c r="K14" s="82"/>
      <c r="L14" s="82"/>
    </row>
    <row r="15" spans="1:12" ht="12.75">
      <c r="A15" s="93"/>
      <c r="B15" s="84"/>
      <c r="C15" s="84"/>
      <c r="D15" s="82"/>
      <c r="E15" s="82"/>
      <c r="F15" s="82"/>
      <c r="G15" s="82"/>
      <c r="H15" s="82"/>
      <c r="I15" s="84"/>
      <c r="J15" s="82"/>
      <c r="K15" s="82"/>
      <c r="L15" s="82"/>
    </row>
    <row r="16" spans="1:12" ht="12.75">
      <c r="A16" s="93"/>
      <c r="B16" s="94" t="s">
        <v>174</v>
      </c>
      <c r="C16" s="94" t="s">
        <v>2</v>
      </c>
      <c r="D16" s="82"/>
      <c r="E16" s="95" t="s">
        <v>24</v>
      </c>
      <c r="F16" s="82"/>
      <c r="G16" s="96"/>
      <c r="H16" s="82"/>
      <c r="I16" s="82"/>
      <c r="J16" s="82"/>
      <c r="K16" s="82"/>
      <c r="L16" s="82"/>
    </row>
    <row r="17" spans="1:12" ht="12.75">
      <c r="A17" s="93"/>
      <c r="B17" s="97">
        <f>($F$8*EXP($C$8/$C$17*$G$8))/(($F$8*EXP($B$8/$C$17*$G$8)))</f>
        <v>3.1280888350199167</v>
      </c>
      <c r="C17" s="85">
        <f>NVTable_Data_Entry!C17</f>
        <v>90</v>
      </c>
      <c r="D17" s="82"/>
      <c r="E17" s="98" t="str">
        <f>NVTable_Data_Entry!E17</f>
        <v>OSU</v>
      </c>
      <c r="F17" s="99"/>
      <c r="G17" s="99"/>
      <c r="H17" s="100"/>
      <c r="I17" s="82"/>
      <c r="J17" s="82"/>
      <c r="K17" s="82"/>
      <c r="L17" s="82"/>
    </row>
    <row r="18" spans="1:12" ht="12.75">
      <c r="A18" s="93"/>
      <c r="B18" s="84"/>
      <c r="C18" s="84"/>
      <c r="D18" s="82"/>
      <c r="E18" s="82"/>
      <c r="F18" s="82"/>
      <c r="G18" s="96"/>
      <c r="H18" s="82"/>
      <c r="I18" s="82"/>
      <c r="J18" s="82"/>
      <c r="K18" s="82"/>
      <c r="L18" s="82"/>
    </row>
    <row r="19" spans="1:12" ht="12.75">
      <c r="A19" s="93"/>
      <c r="B19" s="83" t="s">
        <v>13</v>
      </c>
      <c r="C19" s="91"/>
      <c r="D19" s="82"/>
      <c r="E19" s="95" t="s">
        <v>25</v>
      </c>
      <c r="F19" s="82"/>
      <c r="G19" s="83"/>
      <c r="H19" s="84"/>
      <c r="I19" s="84"/>
      <c r="J19" s="82"/>
      <c r="K19" s="82"/>
      <c r="L19" s="82"/>
    </row>
    <row r="20" spans="1:12" ht="12.75">
      <c r="A20" s="82"/>
      <c r="B20" s="169">
        <f>(F8*EXP(D8/C17*G8))*1000*2.2/I8/2.47</f>
        <v>87.13224532456105</v>
      </c>
      <c r="C20" s="84"/>
      <c r="D20" s="82"/>
      <c r="E20" s="98" t="str">
        <f>NVTable_Data_Entry!E20</f>
        <v>JD 2520</v>
      </c>
      <c r="F20" s="101"/>
      <c r="G20" s="102"/>
      <c r="H20" s="103"/>
      <c r="I20" s="84"/>
      <c r="J20" s="82"/>
      <c r="K20" s="82"/>
      <c r="L20" s="82"/>
    </row>
    <row r="21" spans="1:12" ht="12.75">
      <c r="A21" s="82"/>
      <c r="B21" s="82"/>
      <c r="C21" s="82"/>
      <c r="D21" s="82"/>
      <c r="E21" s="82"/>
      <c r="F21" s="82"/>
      <c r="G21" s="83"/>
      <c r="H21" s="82"/>
      <c r="I21" s="84"/>
      <c r="J21" s="82"/>
      <c r="K21" s="82"/>
      <c r="L21" s="82"/>
    </row>
    <row r="22" spans="1:12" ht="13.5" thickBot="1">
      <c r="A22" s="82"/>
      <c r="B22" s="96" t="s">
        <v>53</v>
      </c>
      <c r="C22" s="96" t="s">
        <v>65</v>
      </c>
      <c r="D22" s="96" t="s">
        <v>177</v>
      </c>
      <c r="E22" s="95" t="s">
        <v>38</v>
      </c>
      <c r="F22" s="82"/>
      <c r="G22" s="96"/>
      <c r="H22" s="84"/>
      <c r="I22" s="84"/>
      <c r="J22" s="82"/>
      <c r="K22" s="82"/>
      <c r="L22" s="82"/>
    </row>
    <row r="23" spans="1:12" ht="13.5" thickBot="1">
      <c r="A23" s="82"/>
      <c r="B23" s="104" t="str">
        <f>NVTable_Data_Entry!B23</f>
        <v>n</v>
      </c>
      <c r="C23" s="179">
        <f>NVTable_Data_Entry!C23</f>
        <v>5</v>
      </c>
      <c r="D23" s="166">
        <f>PSTable_New!E26</f>
        <v>2.99</v>
      </c>
      <c r="E23" s="98" t="str">
        <f>NVTable_Data_Entry!E23</f>
        <v>testcorn</v>
      </c>
      <c r="F23" s="82"/>
      <c r="G23" s="82"/>
      <c r="H23" s="84"/>
      <c r="I23" s="84"/>
      <c r="J23" s="82"/>
      <c r="K23" s="82"/>
      <c r="L23" s="82"/>
    </row>
    <row r="24" spans="1:12" ht="12.75">
      <c r="A24" s="82"/>
      <c r="B24" s="82"/>
      <c r="C24" s="82"/>
      <c r="D24" s="82"/>
      <c r="E24" s="82"/>
      <c r="F24" s="82"/>
      <c r="G24" s="82"/>
      <c r="H24" s="84"/>
      <c r="I24" s="84"/>
      <c r="J24" s="82"/>
      <c r="K24" s="82"/>
      <c r="L24" s="82"/>
    </row>
    <row r="25" spans="1:12" ht="12.75">
      <c r="A25" s="82"/>
      <c r="B25" s="96" t="s">
        <v>54</v>
      </c>
      <c r="C25" s="96" t="s">
        <v>55</v>
      </c>
      <c r="D25" s="82"/>
      <c r="E25" s="82"/>
      <c r="F25" s="82"/>
      <c r="G25" s="82"/>
      <c r="H25" s="84"/>
      <c r="I25" s="84"/>
      <c r="J25" s="82"/>
      <c r="K25" s="82"/>
      <c r="L25" s="82"/>
    </row>
    <row r="26" spans="1:12" ht="12.75">
      <c r="A26" s="82"/>
      <c r="B26" s="104" t="str">
        <f>NVTable_Data_Entry!B26</f>
        <v>n</v>
      </c>
      <c r="C26" s="104">
        <f>NVTable_Data_Entry!C26</f>
        <v>7</v>
      </c>
      <c r="D26" s="82"/>
      <c r="E26" s="82"/>
      <c r="F26" s="82"/>
      <c r="G26" s="82"/>
      <c r="H26" s="84"/>
      <c r="I26" s="84"/>
      <c r="J26" s="82"/>
      <c r="K26" s="82"/>
      <c r="L26" s="82"/>
    </row>
    <row r="27" spans="1:12" ht="13.5" thickBot="1">
      <c r="A27" s="82"/>
      <c r="B27" s="82"/>
      <c r="C27" s="82"/>
      <c r="D27" s="82"/>
      <c r="E27" s="82"/>
      <c r="F27" s="82"/>
      <c r="G27" s="82"/>
      <c r="H27" s="84"/>
      <c r="I27" s="84"/>
      <c r="J27" s="82"/>
      <c r="K27" s="82"/>
      <c r="L27" s="82"/>
    </row>
    <row r="28" spans="1:12" ht="13.5" thickTop="1">
      <c r="A28" s="105"/>
      <c r="B28" s="105"/>
      <c r="C28" s="105"/>
      <c r="D28" s="105"/>
      <c r="E28" s="105"/>
      <c r="F28" s="105"/>
      <c r="G28" s="105"/>
      <c r="H28" s="106"/>
      <c r="I28" s="106"/>
      <c r="J28" s="105"/>
      <c r="K28" s="105"/>
      <c r="L28" s="105"/>
    </row>
    <row r="29" spans="1:12" ht="12.75">
      <c r="A29" s="107" t="s">
        <v>14</v>
      </c>
      <c r="B29" s="107"/>
      <c r="C29" s="107"/>
      <c r="D29" s="108" t="s">
        <v>18</v>
      </c>
      <c r="E29" s="107"/>
      <c r="F29" s="107"/>
      <c r="G29" s="107"/>
      <c r="H29" s="109"/>
      <c r="I29" s="109"/>
      <c r="J29" s="107"/>
      <c r="K29" s="107"/>
      <c r="L29" s="107"/>
    </row>
    <row r="30" spans="1:12" ht="12.75">
      <c r="A30" s="108" t="s">
        <v>19</v>
      </c>
      <c r="B30" s="107"/>
      <c r="C30" s="107"/>
      <c r="D30" s="108" t="s">
        <v>17</v>
      </c>
      <c r="E30" s="107"/>
      <c r="F30" s="107"/>
      <c r="G30" s="107"/>
      <c r="H30" s="109"/>
      <c r="I30" s="109"/>
      <c r="J30" s="107"/>
      <c r="K30" s="107"/>
      <c r="L30" s="107"/>
    </row>
    <row r="31" spans="1:12" ht="12.75">
      <c r="A31" s="109"/>
      <c r="B31" s="107"/>
      <c r="C31" s="107"/>
      <c r="D31" s="107"/>
      <c r="E31" s="107"/>
      <c r="F31" s="107"/>
      <c r="G31" s="107"/>
      <c r="H31" s="109"/>
      <c r="I31" s="109"/>
      <c r="J31" s="107"/>
      <c r="K31" s="107"/>
      <c r="L31" s="107"/>
    </row>
    <row r="32" spans="1:12" ht="12.75">
      <c r="A32" s="110" t="s">
        <v>41</v>
      </c>
      <c r="B32" s="107"/>
      <c r="C32" s="107"/>
      <c r="D32" s="107"/>
      <c r="E32" s="107"/>
      <c r="F32" s="107"/>
      <c r="G32" s="107"/>
      <c r="H32" s="109"/>
      <c r="I32" s="109"/>
      <c r="J32" s="107"/>
      <c r="K32" s="107"/>
      <c r="L32" s="107"/>
    </row>
    <row r="33" spans="1:12" ht="13.5" thickBot="1">
      <c r="A33" s="249" t="s">
        <v>8</v>
      </c>
      <c r="B33" s="249"/>
      <c r="C33" s="249"/>
      <c r="D33" s="249"/>
      <c r="E33" s="249"/>
      <c r="F33" s="249"/>
      <c r="G33" s="111"/>
      <c r="H33" s="249" t="s">
        <v>7</v>
      </c>
      <c r="I33" s="250"/>
      <c r="J33" s="250"/>
      <c r="K33" s="112"/>
      <c r="L33" s="112"/>
    </row>
    <row r="34" spans="1:12" ht="12.75">
      <c r="A34" s="113"/>
      <c r="B34" s="113"/>
      <c r="C34" s="114" t="s">
        <v>16</v>
      </c>
      <c r="D34" s="113"/>
      <c r="E34" s="113"/>
      <c r="F34" s="113"/>
      <c r="G34" s="114" t="s">
        <v>16</v>
      </c>
      <c r="H34" s="113"/>
      <c r="I34" s="115"/>
      <c r="J34" s="115"/>
      <c r="K34" s="115"/>
      <c r="L34" s="111"/>
    </row>
    <row r="35" spans="1:15" ht="12.75">
      <c r="A35" s="116" t="s">
        <v>6</v>
      </c>
      <c r="B35" s="116" t="s">
        <v>1</v>
      </c>
      <c r="C35" s="127" t="str">
        <f>IF(NVTable_Data_Entry!D68=1,"ml UAN(28)/m2",IF(NVTable_Data_Entry!D68=2,"mL UAN(32)/m2","mL soln 24/m2"))</f>
        <v>ml UAN(28)/m2</v>
      </c>
      <c r="D35" s="116" t="s">
        <v>11</v>
      </c>
      <c r="E35" s="116" t="s">
        <v>12</v>
      </c>
      <c r="F35" s="117" t="s">
        <v>40</v>
      </c>
      <c r="G35" s="116" t="s">
        <v>3</v>
      </c>
      <c r="H35" s="116" t="s">
        <v>4</v>
      </c>
      <c r="I35" s="116" t="s">
        <v>5</v>
      </c>
      <c r="J35" s="116"/>
      <c r="K35" s="116" t="s">
        <v>4</v>
      </c>
      <c r="L35" s="116" t="s">
        <v>49</v>
      </c>
      <c r="M35" s="175"/>
      <c r="N35" s="177"/>
      <c r="O35" s="111"/>
    </row>
    <row r="36" spans="1:15" ht="12.75">
      <c r="A36" s="111">
        <v>0</v>
      </c>
      <c r="B36" s="111">
        <v>0.25</v>
      </c>
      <c r="C36" s="111">
        <f>((((MIN((($F$8*EXP((((B36))/$C$17)*$G$8))*1000/1.12/$I$8*$B$17),$B$20)*$I$8*$H$8)-(MIN((($F$8*EXP((((B36))/$C$17)*$G$8))*1000/1.12/$I$8),$B$20)*$I$8*$H$8))*IF(NVTable_Data_Entry!$D$68=1,0.313,IF(NVTable_Data_Entry!$D$68=2,0.263,0.403))/0.6))</f>
        <v>26.687988985958633</v>
      </c>
      <c r="D36" s="111">
        <f>(B36)/$C$17</f>
        <v>0.002777777777777778</v>
      </c>
      <c r="E36" s="111">
        <f>MIN(((($F$8*EXP(D36*$G$8))*1000)/1.12/$I$8),$B$20)</f>
        <v>16.76423955135043</v>
      </c>
      <c r="F36" s="111">
        <f>MIN(E36*$B$17,$B$20)</f>
        <v>52.44003056817857</v>
      </c>
      <c r="G36" s="111">
        <f>((F36*$I$8*$H$8)-(E36*$I$8*$H$8))/$B$14</f>
        <v>85.26514053021927</v>
      </c>
      <c r="H36" s="111">
        <f>IF($B$26="y",99,0)</f>
        <v>0</v>
      </c>
      <c r="I36" s="111">
        <f>LOOKUP(H36,$K$36:$K$43,$L$36:$L$43)</f>
        <v>0</v>
      </c>
      <c r="J36" s="111"/>
      <c r="K36" s="118">
        <v>0</v>
      </c>
      <c r="L36" s="118">
        <v>0</v>
      </c>
      <c r="M36" s="176"/>
      <c r="N36" s="119"/>
      <c r="O36" s="111"/>
    </row>
    <row r="37" spans="1:15" ht="12.75">
      <c r="A37" s="111">
        <v>1</v>
      </c>
      <c r="B37" s="111">
        <v>0.26</v>
      </c>
      <c r="C37" s="111">
        <f>((((MIN((($F$8*EXP((((B37))/$C$17)*$G$8))*1000/1.12/$I$8*$B$17),$B$20)*$I$8*$H$8)-(MIN((($F$8*EXP((((B37))/$C$17)*$G$8))*1000/1.12/$I$8),$B$20)*$I$8*$H$8))*IF(NVTable_Data_Entry!$D$68=1,0.313,IF(NVTable_Data_Entry!$D$68=2,0.263,0.403))/0.6))</f>
        <v>27.501064818371884</v>
      </c>
      <c r="D37" s="111">
        <f aca="true" t="shared" si="0" ref="D37:D99">(B37)/$C$17</f>
        <v>0.002888888888888889</v>
      </c>
      <c r="E37" s="111">
        <f aca="true" t="shared" si="1" ref="E37:E98">MIN(((($F$8*EXP(D37*$G$8))*1000)/1.12/$I$8),$B$20)</f>
        <v>17.274978597112202</v>
      </c>
      <c r="F37" s="111">
        <f aca="true" t="shared" si="2" ref="F37:F99">MIN(E37*$B$17,$B$20)</f>
        <v>54.03766767483471</v>
      </c>
      <c r="G37" s="111">
        <f aca="true" t="shared" si="3" ref="G37:G99">((F37*$I$8*$H$8)-(E37*$I$8*$H$8))/$B$14</f>
        <v>87.86282689575681</v>
      </c>
      <c r="H37" s="111">
        <f>IF($B$26="y",0,(MAX(0,IF($B$23="y",(LOOKUP(MAX(G37-$C$23*$D$23,0)+$L$37/2,$L$36:$L$43,$K$36:$K$43)),(LOOKUP(G37+$L$37/2,$L$36:$L$43,$K$36:$K$43))))))</f>
        <v>6</v>
      </c>
      <c r="I37" s="111">
        <f>LOOKUP(H37,$K$36:$K$43,$L$36:$L$43)</f>
        <v>86.11084300274787</v>
      </c>
      <c r="J37" s="111"/>
      <c r="K37" s="118">
        <v>1</v>
      </c>
      <c r="L37" s="118">
        <f>vs1</f>
        <v>14.575369347832464</v>
      </c>
      <c r="M37" s="118"/>
      <c r="N37" s="111"/>
      <c r="O37" s="111"/>
    </row>
    <row r="38" spans="1:15" ht="12.75">
      <c r="A38" s="111">
        <v>2</v>
      </c>
      <c r="B38" s="111">
        <v>0.27</v>
      </c>
      <c r="C38" s="111">
        <f>((((MIN((($F$8*EXP((((B38))/$C$17)*$G$8))*1000/1.12/$I$8*$B$17),$B$20)*$I$8*$H$8)-(MIN((($F$8*EXP((((B38))/$C$17)*$G$8))*1000/1.12/$I$8),$B$20)*$I$8*$H$8))*IF(NVTable_Data_Entry!$D$68=1,0.313,IF(NVTable_Data_Entry!$D$68=2,0.263,0.403))/0.6))</f>
        <v>28.338911805689378</v>
      </c>
      <c r="D38" s="111">
        <f t="shared" si="0"/>
        <v>0.003</v>
      </c>
      <c r="E38" s="111">
        <f t="shared" si="1"/>
        <v>17.801277810221062</v>
      </c>
      <c r="F38" s="111">
        <f t="shared" si="2"/>
        <v>55.6839783672403</v>
      </c>
      <c r="G38" s="111">
        <f t="shared" si="3"/>
        <v>90.53965433127597</v>
      </c>
      <c r="H38" s="111">
        <f aca="true" t="shared" si="4" ref="H38:H99">IF($B$26="y",$C$26,(MAX(0,IF($B$23="y",(LOOKUP(MAX(G38-$C$23*$D$23,0)+$L$37/2,$L$36:$L$43,$K$36:$K$43)),(LOOKUP(G38+$L$37/2,$L$36:$L$43,$K$36:$K$43))))))</f>
        <v>6</v>
      </c>
      <c r="I38" s="111">
        <f aca="true" t="shared" si="5" ref="I38:I49">LOOKUP(H38,$K$36:$K$43,$L$36:$L$43)</f>
        <v>86.11084300274787</v>
      </c>
      <c r="J38" s="111"/>
      <c r="K38" s="118">
        <v>2</v>
      </c>
      <c r="L38" s="118">
        <f>vs2</f>
        <v>28.763107784292856</v>
      </c>
      <c r="M38" s="118"/>
      <c r="N38" s="111"/>
      <c r="O38" s="111"/>
    </row>
    <row r="39" spans="1:15" ht="12.75">
      <c r="A39" s="111">
        <v>3</v>
      </c>
      <c r="B39" s="111">
        <v>0.28</v>
      </c>
      <c r="C39" s="111">
        <f>((((MIN((($F$8*EXP((((B39))/$C$17)*$G$8))*1000/1.12/$I$8*$B$17),$B$20)*$I$8*$H$8)-(MIN((($F$8*EXP((((B39))/$C$17)*$G$8))*1000/1.12/$I$8),$B$20)*$I$8*$H$8))*IF(NVTable_Data_Entry!$D$68=1,0.313,IF(NVTable_Data_Entry!$D$68=2,0.263,0.403))/0.6))</f>
        <v>29.202284625508042</v>
      </c>
      <c r="D39" s="111">
        <f t="shared" si="0"/>
        <v>0.0031111111111111114</v>
      </c>
      <c r="E39" s="111">
        <f t="shared" si="1"/>
        <v>18.34361124647885</v>
      </c>
      <c r="F39" s="111">
        <f t="shared" si="2"/>
        <v>57.38044553405627</v>
      </c>
      <c r="G39" s="111">
        <f t="shared" si="3"/>
        <v>93.29803394731005</v>
      </c>
      <c r="H39" s="111">
        <f t="shared" si="4"/>
        <v>6</v>
      </c>
      <c r="I39" s="111">
        <f t="shared" si="5"/>
        <v>86.11084300274787</v>
      </c>
      <c r="J39" s="111"/>
      <c r="K39" s="118">
        <v>3</v>
      </c>
      <c r="L39" s="118">
        <f>vs3</f>
        <v>43.3384771321253</v>
      </c>
      <c r="M39" s="118"/>
      <c r="N39" s="111"/>
      <c r="O39" s="111"/>
    </row>
    <row r="40" spans="1:15" ht="12.75">
      <c r="A40" s="111">
        <v>4</v>
      </c>
      <c r="B40" s="111">
        <v>0.29</v>
      </c>
      <c r="C40" s="111">
        <f>((((MIN((($F$8*EXP((((B40))/$C$17)*$G$8))*1000/1.12/$I$8*$B$17),$B$20)*$I$8*$H$8)-(MIN((($F$8*EXP((((B40))/$C$17)*$G$8))*1000/1.12/$I$8),$B$20)*$I$8*$H$8))*IF(NVTable_Data_Entry!$D$68=1,0.313,IF(NVTable_Data_Entry!$D$68=2,0.263,0.403))/0.6))</f>
        <v>30.09196094741995</v>
      </c>
      <c r="D40" s="111">
        <f t="shared" si="0"/>
        <v>0.003222222222222222</v>
      </c>
      <c r="E40" s="111">
        <f t="shared" si="1"/>
        <v>18.90246740426364</v>
      </c>
      <c r="F40" s="111">
        <f t="shared" si="2"/>
        <v>59.128597241605</v>
      </c>
      <c r="G40" s="111">
        <f t="shared" si="3"/>
        <v>96.14045031124586</v>
      </c>
      <c r="H40" s="111">
        <f t="shared" si="4"/>
        <v>7</v>
      </c>
      <c r="I40" s="111">
        <f t="shared" si="5"/>
        <v>100.68621235058032</v>
      </c>
      <c r="J40" s="111"/>
      <c r="K40" s="118">
        <v>4</v>
      </c>
      <c r="L40" s="118">
        <f>vs4</f>
        <v>57.34773521845503</v>
      </c>
      <c r="M40" s="118"/>
      <c r="N40" s="111"/>
      <c r="O40" s="111"/>
    </row>
    <row r="41" spans="1:15" ht="12.75">
      <c r="A41" s="111">
        <v>5</v>
      </c>
      <c r="B41" s="111">
        <v>0.3</v>
      </c>
      <c r="C41" s="111">
        <f>((((MIN((($F$8*EXP((((B41))/$C$17)*$G$8))*1000/1.12/$I$8*$B$17),$B$20)*$I$8*$H$8)-(MIN((($F$8*EXP((((B41))/$C$17)*$G$8))*1000/1.12/$I$8),$B$20)*$I$8*$H$8))*IF(NVTable_Data_Entry!$D$68=1,0.313,IF(NVTable_Data_Entry!$D$68=2,0.263,0.403))/0.6))</f>
        <v>31.008742133486212</v>
      </c>
      <c r="D41" s="111">
        <f t="shared" si="0"/>
        <v>0.003333333333333333</v>
      </c>
      <c r="E41" s="111">
        <f t="shared" si="1"/>
        <v>19.478349664537056</v>
      </c>
      <c r="F41" s="111">
        <f t="shared" si="2"/>
        <v>60.93000811025231</v>
      </c>
      <c r="G41" s="111">
        <f t="shared" si="3"/>
        <v>99.06946368525946</v>
      </c>
      <c r="H41" s="111">
        <f t="shared" si="4"/>
        <v>7</v>
      </c>
      <c r="I41" s="111">
        <f t="shared" si="5"/>
        <v>100.68621235058032</v>
      </c>
      <c r="J41" s="111"/>
      <c r="K41" s="118">
        <v>5</v>
      </c>
      <c r="L41" s="118">
        <f>vs5</f>
        <v>71.9231045662875</v>
      </c>
      <c r="M41" s="118"/>
      <c r="N41" s="111"/>
      <c r="O41" s="111"/>
    </row>
    <row r="42" spans="1:15" ht="12.75">
      <c r="A42" s="111">
        <v>6</v>
      </c>
      <c r="B42" s="111">
        <v>0.31</v>
      </c>
      <c r="C42" s="111">
        <f>((((MIN((($F$8*EXP((((B42))/$C$17)*$G$8))*1000/1.12/$I$8*$B$17),$B$20)*$I$8*$H$8)-(MIN((($F$8*EXP((((B42))/$C$17)*$G$8))*1000/1.12/$I$8),$B$20)*$I$8*$H$8))*IF(NVTable_Data_Entry!$D$68=1,0.313,IF(NVTable_Data_Entry!$D$68=2,0.263,0.403))/0.6))</f>
        <v>31.953453960051217</v>
      </c>
      <c r="D42" s="111">
        <f t="shared" si="0"/>
        <v>0.0034444444444444444</v>
      </c>
      <c r="E42" s="111">
        <f t="shared" si="1"/>
        <v>20.071776744256784</v>
      </c>
      <c r="F42" s="111">
        <f t="shared" si="2"/>
        <v>62.78630073272206</v>
      </c>
      <c r="G42" s="111">
        <f t="shared" si="3"/>
        <v>102.087712332432</v>
      </c>
      <c r="H42" s="111">
        <f t="shared" si="4"/>
        <v>7</v>
      </c>
      <c r="I42" s="111">
        <f t="shared" si="5"/>
        <v>100.68621235058032</v>
      </c>
      <c r="J42" s="111"/>
      <c r="K42" s="118">
        <v>6</v>
      </c>
      <c r="L42" s="118">
        <f>vs6</f>
        <v>86.11084300274787</v>
      </c>
      <c r="M42" s="118"/>
      <c r="N42" s="111"/>
      <c r="O42" s="111"/>
    </row>
    <row r="43" spans="1:15" ht="12.75">
      <c r="A43" s="111">
        <v>7</v>
      </c>
      <c r="B43" s="111">
        <v>0.32</v>
      </c>
      <c r="C43" s="111">
        <f>((((MIN((($F$8*EXP((((B43))/$C$17)*$G$8))*1000/1.12/$I$8*$B$17),$B$20)*$I$8*$H$8)-(MIN((($F$8*EXP((((B43))/$C$17)*$G$8))*1000/1.12/$I$8),$B$20)*$I$8*$H$8))*IF(NVTable_Data_Entry!$D$68=1,0.313,IF(NVTable_Data_Entry!$D$68=2,0.263,0.403))/0.6))</f>
        <v>32.92694736154789</v>
      </c>
      <c r="D43" s="111">
        <f t="shared" si="0"/>
        <v>0.0035555555555555557</v>
      </c>
      <c r="E43" s="111">
        <f t="shared" si="1"/>
        <v>20.683283163602788</v>
      </c>
      <c r="F43" s="111">
        <f t="shared" si="2"/>
        <v>64.6991471356213</v>
      </c>
      <c r="G43" s="111">
        <f t="shared" si="3"/>
        <v>105.19791489312425</v>
      </c>
      <c r="H43" s="111">
        <f t="shared" si="4"/>
        <v>7</v>
      </c>
      <c r="I43" s="111">
        <f t="shared" si="5"/>
        <v>100.68621235058032</v>
      </c>
      <c r="J43" s="111"/>
      <c r="K43" s="118">
        <v>7</v>
      </c>
      <c r="L43" s="118">
        <f>vs7</f>
        <v>100.68621235058032</v>
      </c>
      <c r="M43" s="118"/>
      <c r="N43" s="111"/>
      <c r="O43" s="111"/>
    </row>
    <row r="44" spans="1:15" ht="12.75">
      <c r="A44" s="111">
        <v>8</v>
      </c>
      <c r="B44" s="111">
        <v>0.33</v>
      </c>
      <c r="C44" s="111">
        <f>((((MIN((($F$8*EXP((((B44))/$C$17)*$G$8))*1000/1.12/$I$8*$B$17),$B$20)*$I$8*$H$8)-(MIN((($F$8*EXP((((B44))/$C$17)*$G$8))*1000/1.12/$I$8),$B$20)*$I$8*$H$8))*IF(NVTable_Data_Entry!$D$68=1,0.313,IF(NVTable_Data_Entry!$D$68=2,0.263,0.403))/0.6))</f>
        <v>33.930099196963575</v>
      </c>
      <c r="D44" s="111">
        <f t="shared" si="0"/>
        <v>0.003666666666666667</v>
      </c>
      <c r="E44" s="111">
        <f t="shared" si="1"/>
        <v>21.313419727438045</v>
      </c>
      <c r="F44" s="111">
        <f t="shared" si="2"/>
        <v>66.6702702854922</v>
      </c>
      <c r="G44" s="111">
        <f t="shared" si="3"/>
        <v>108.40287283374944</v>
      </c>
      <c r="H44" s="111">
        <f t="shared" si="4"/>
        <v>7</v>
      </c>
      <c r="I44" s="111">
        <f t="shared" si="5"/>
        <v>100.68621235058032</v>
      </c>
      <c r="J44" s="111"/>
      <c r="K44" s="111"/>
      <c r="L44" s="119"/>
      <c r="M44" s="111"/>
      <c r="N44" s="111"/>
      <c r="O44" s="111"/>
    </row>
    <row r="45" spans="1:15" ht="12.75">
      <c r="A45" s="111">
        <v>9</v>
      </c>
      <c r="B45" s="111">
        <v>0.34</v>
      </c>
      <c r="C45" s="111">
        <f>((((MIN((($F$8*EXP((((B45))/$C$17)*$G$8))*1000/1.12/$I$8*$B$17),$B$20)*$I$8*$H$8)-(MIN((($F$8*EXP((((B45))/$C$17)*$G$8))*1000/1.12/$I$8),$B$20)*$I$8*$H$8))*IF(NVTable_Data_Entry!$D$68=1,0.313,IF(NVTable_Data_Entry!$D$68=2,0.263,0.403))/0.6))</f>
        <v>34.96381303965699</v>
      </c>
      <c r="D45" s="111">
        <f t="shared" si="0"/>
        <v>0.003777777777777778</v>
      </c>
      <c r="E45" s="111">
        <f t="shared" si="1"/>
        <v>21.96275402143738</v>
      </c>
      <c r="F45" s="111">
        <f t="shared" si="2"/>
        <v>68.70144564074705</v>
      </c>
      <c r="G45" s="111">
        <f t="shared" si="3"/>
        <v>111.70547297015013</v>
      </c>
      <c r="H45" s="111">
        <f t="shared" si="4"/>
        <v>7</v>
      </c>
      <c r="I45" s="111">
        <f t="shared" si="5"/>
        <v>100.68621235058032</v>
      </c>
      <c r="J45" s="111"/>
      <c r="K45" s="111"/>
      <c r="L45" s="119"/>
      <c r="M45" s="111"/>
      <c r="N45" s="111"/>
      <c r="O45" s="111"/>
    </row>
    <row r="46" spans="1:15" ht="12.75">
      <c r="A46" s="111">
        <v>10</v>
      </c>
      <c r="B46" s="111">
        <v>0.35</v>
      </c>
      <c r="C46" s="111">
        <f>((((MIN((($F$8*EXP((((B46))/$C$17)*$G$8))*1000/1.12/$I$8*$B$17),$B$20)*$I$8*$H$8)-(MIN((($F$8*EXP((((B46))/$C$17)*$G$8))*1000/1.12/$I$8),$B$20)*$I$8*$H$8))*IF(NVTable_Data_Entry!$D$68=1,0.313,IF(NVTable_Data_Entry!$D$68=2,0.263,0.403))/0.6))</f>
        <v>36.029019991237995</v>
      </c>
      <c r="D46" s="111">
        <f t="shared" si="0"/>
        <v>0.0038888888888888888</v>
      </c>
      <c r="E46" s="111">
        <f t="shared" si="1"/>
        <v>22.631870923331448</v>
      </c>
      <c r="F46" s="111">
        <f t="shared" si="2"/>
        <v>70.794502750885</v>
      </c>
      <c r="G46" s="111">
        <f t="shared" si="3"/>
        <v>115.10869006785302</v>
      </c>
      <c r="H46" s="111">
        <f t="shared" si="4"/>
        <v>7</v>
      </c>
      <c r="I46" s="111">
        <f t="shared" si="5"/>
        <v>100.68621235058032</v>
      </c>
      <c r="J46" s="111"/>
      <c r="K46" s="111"/>
      <c r="L46" s="119"/>
      <c r="M46" s="111"/>
      <c r="N46" s="111"/>
      <c r="O46" s="111"/>
    </row>
    <row r="47" spans="1:15" ht="12.75">
      <c r="A47" s="111">
        <v>11</v>
      </c>
      <c r="B47" s="111">
        <v>0.36</v>
      </c>
      <c r="C47" s="111">
        <f>((((MIN((($F$8*EXP((((B47))/$C$17)*$G$8))*1000/1.12/$I$8*$B$17),$B$20)*$I$8*$H$8)-(MIN((($F$8*EXP((((B47))/$C$17)*$G$8))*1000/1.12/$I$8),$B$20)*$I$8*$H$8))*IF(NVTable_Data_Entry!$D$68=1,0.313,IF(NVTable_Data_Entry!$D$68=2,0.263,0.403))/0.6))</f>
        <v>37.126679520242654</v>
      </c>
      <c r="D47" s="111">
        <f t="shared" si="0"/>
        <v>0.004</v>
      </c>
      <c r="E47" s="111">
        <f t="shared" si="1"/>
        <v>23.321373129726172</v>
      </c>
      <c r="F47" s="111">
        <f t="shared" si="2"/>
        <v>72.95132690442993</v>
      </c>
      <c r="G47" s="111">
        <f t="shared" si="3"/>
        <v>118.61558952154203</v>
      </c>
      <c r="H47" s="111">
        <f t="shared" si="4"/>
        <v>7</v>
      </c>
      <c r="I47" s="111">
        <f t="shared" si="5"/>
        <v>100.68621235058032</v>
      </c>
      <c r="J47" s="111"/>
      <c r="K47" s="111"/>
      <c r="L47" s="119"/>
      <c r="M47" s="111"/>
      <c r="N47" s="111"/>
      <c r="O47" s="111"/>
    </row>
    <row r="48" spans="1:15" ht="12.75">
      <c r="A48" s="111">
        <v>12</v>
      </c>
      <c r="B48" s="111">
        <v>0.37</v>
      </c>
      <c r="C48" s="111">
        <f>((((MIN((($F$8*EXP((((B48))/$C$17)*$G$8))*1000/1.12/$I$8*$B$17),$B$20)*$I$8*$H$8)-(MIN((($F$8*EXP((((B48))/$C$17)*$G$8))*1000/1.12/$I$8),$B$20)*$I$8*$H$8))*IF(NVTable_Data_Entry!$D$68=1,0.313,IF(NVTable_Data_Entry!$D$68=2,0.263,0.403))/0.6))</f>
        <v>38.25778032635971</v>
      </c>
      <c r="D48" s="111">
        <f t="shared" si="0"/>
        <v>0.004111111111111111</v>
      </c>
      <c r="E48" s="111">
        <f t="shared" si="1"/>
        <v>24.03188169897238</v>
      </c>
      <c r="F48" s="111">
        <f t="shared" si="2"/>
        <v>75.17386082707498</v>
      </c>
      <c r="G48" s="111">
        <f t="shared" si="3"/>
        <v>122.22933011616519</v>
      </c>
      <c r="H48" s="111">
        <f t="shared" si="4"/>
        <v>7</v>
      </c>
      <c r="I48" s="111">
        <f t="shared" si="5"/>
        <v>100.68621235058032</v>
      </c>
      <c r="J48" s="111"/>
      <c r="L48" s="119"/>
      <c r="M48" s="111"/>
      <c r="N48" s="111"/>
      <c r="O48" s="111"/>
    </row>
    <row r="49" spans="1:15" ht="12.75">
      <c r="A49" s="111">
        <v>13</v>
      </c>
      <c r="B49" s="111">
        <v>0.38</v>
      </c>
      <c r="C49" s="111">
        <f>((((MIN((($F$8*EXP((((B49))/$C$17)*$G$8))*1000/1.12/$I$8*$B$17),$B$20)*$I$8*$H$8)-(MIN((($F$8*EXP((((B49))/$C$17)*$G$8))*1000/1.12/$I$8),$B$20)*$I$8*$H$8))*IF(NVTable_Data_Entry!$D$68=1,0.313,IF(NVTable_Data_Entry!$D$68=2,0.263,0.403))/0.6))</f>
        <v>39.42334123098628</v>
      </c>
      <c r="D49" s="111">
        <f t="shared" si="0"/>
        <v>0.004222222222222223</v>
      </c>
      <c r="E49" s="111">
        <f t="shared" si="1"/>
        <v>24.764036610574337</v>
      </c>
      <c r="F49" s="111">
        <f t="shared" si="2"/>
        <v>77.46410643156204</v>
      </c>
      <c r="G49" s="111">
        <f t="shared" si="3"/>
        <v>125.95316687216065</v>
      </c>
      <c r="H49" s="111">
        <f t="shared" si="4"/>
        <v>7</v>
      </c>
      <c r="I49" s="111">
        <f t="shared" si="5"/>
        <v>100.68621235058032</v>
      </c>
      <c r="J49" s="111"/>
      <c r="K49" s="111"/>
      <c r="L49" s="111"/>
      <c r="M49" s="119"/>
      <c r="N49" s="111"/>
      <c r="O49" s="111"/>
    </row>
    <row r="50" spans="1:15" ht="12.75">
      <c r="A50" s="111">
        <v>14</v>
      </c>
      <c r="B50" s="111">
        <v>0.39</v>
      </c>
      <c r="C50" s="111">
        <f>((((MIN((($F$8*EXP((((B50))/$C$17)*$G$8))*1000/1.12/$I$8*$B$17),$B$20)*$I$8*$H$8)-(MIN((($F$8*EXP((((B50))/$C$17)*$G$8))*1000/1.12/$I$8),$B$20)*$I$8*$H$8))*IF(NVTable_Data_Entry!$D$68=1,0.313,IF(NVTable_Data_Entry!$D$68=2,0.263,0.403))/0.6))</f>
        <v>40.624412094915364</v>
      </c>
      <c r="D50" s="111">
        <f t="shared" si="0"/>
        <v>0.004333333333333333</v>
      </c>
      <c r="E50" s="111">
        <f t="shared" si="1"/>
        <v>25.518497341641346</v>
      </c>
      <c r="F50" s="111">
        <f t="shared" si="2"/>
        <v>79.82412662087373</v>
      </c>
      <c r="G50" s="111">
        <f t="shared" si="3"/>
        <v>129.7904539773654</v>
      </c>
      <c r="H50" s="111">
        <f t="shared" si="4"/>
        <v>7</v>
      </c>
      <c r="I50" s="111">
        <f>LOOKUP(H50,$K$36:$K$43,$L$36:$L$43)</f>
        <v>100.68621235058032</v>
      </c>
      <c r="J50" s="111"/>
      <c r="K50" s="111" t="s">
        <v>10</v>
      </c>
      <c r="L50" s="111"/>
      <c r="M50" s="111"/>
      <c r="N50" s="111"/>
      <c r="O50" s="111"/>
    </row>
    <row r="51" spans="1:15" ht="12.75">
      <c r="A51" s="111">
        <v>15</v>
      </c>
      <c r="B51" s="111">
        <v>0.4</v>
      </c>
      <c r="C51" s="111">
        <f>((((MIN((($F$8*EXP((((B51))/$C$17)*$G$8))*1000/1.12/$I$8*$B$17),$B$20)*$I$8*$H$8)-(MIN((($F$8*EXP((((B51))/$C$17)*$G$8))*1000/1.12/$I$8),$B$20)*$I$8*$H$8))*IF(NVTable_Data_Entry!$D$68=1,0.313,IF(NVTable_Data_Entry!$D$68=2,0.263,0.403))/0.6))</f>
        <v>41.86207476398161</v>
      </c>
      <c r="D51" s="111">
        <f t="shared" si="0"/>
        <v>0.0044444444444444444</v>
      </c>
      <c r="E51" s="111">
        <f t="shared" si="1"/>
        <v>26.29594346090146</v>
      </c>
      <c r="F51" s="111">
        <f t="shared" si="2"/>
        <v>82.25604714636084</v>
      </c>
      <c r="G51" s="111">
        <f t="shared" si="3"/>
        <v>133.74464780824795</v>
      </c>
      <c r="H51" s="111">
        <f t="shared" si="4"/>
        <v>7</v>
      </c>
      <c r="I51" s="111">
        <f aca="true" t="shared" si="6" ref="I51:I99">LOOKUP(H51,$K$36:$K$43,$L$36:$L$43)</f>
        <v>100.68621235058032</v>
      </c>
      <c r="J51" s="111"/>
      <c r="K51" s="111"/>
      <c r="L51" s="111"/>
      <c r="M51" s="111"/>
      <c r="N51" s="111"/>
      <c r="O51" s="111"/>
    </row>
    <row r="52" spans="1:15" ht="12.75">
      <c r="A52" s="111">
        <v>16</v>
      </c>
      <c r="B52" s="111">
        <v>0.41</v>
      </c>
      <c r="C52" s="111">
        <f>((((MIN((($F$8*EXP((((B52))/$C$17)*$G$8))*1000/1.12/$I$8*$B$17),$B$20)*$I$8*$H$8)-(MIN((($F$8*EXP((((B52))/$C$17)*$G$8))*1000/1.12/$I$8),$B$20)*$I$8*$H$8))*IF(NVTable_Data_Entry!$D$68=1,0.313,IF(NVTable_Data_Entry!$D$68=2,0.263,0.403))/0.6))</f>
        <v>43.13744404351696</v>
      </c>
      <c r="D52" s="111">
        <f t="shared" si="0"/>
        <v>0.004555555555555555</v>
      </c>
      <c r="E52" s="111">
        <f t="shared" si="1"/>
        <v>27.09707524081237</v>
      </c>
      <c r="F52" s="111">
        <f t="shared" si="2"/>
        <v>84.76205852247979</v>
      </c>
      <c r="G52" s="111">
        <f t="shared" si="3"/>
        <v>137.81931004318517</v>
      </c>
      <c r="H52" s="111">
        <f t="shared" si="4"/>
        <v>7</v>
      </c>
      <c r="I52" s="111">
        <f t="shared" si="6"/>
        <v>100.68621235058032</v>
      </c>
      <c r="J52" s="111"/>
      <c r="K52" s="111"/>
      <c r="L52" s="111"/>
      <c r="M52" s="111"/>
      <c r="N52" s="111"/>
      <c r="O52" s="111"/>
    </row>
    <row r="53" spans="1:15" ht="12.75">
      <c r="A53" s="111">
        <v>17</v>
      </c>
      <c r="B53" s="111">
        <v>0.42</v>
      </c>
      <c r="C53" s="111">
        <f>((((MIN((($F$8*EXP((((B53))/$C$17)*$G$8))*1000/1.12/$I$8*$B$17),$B$20)*$I$8*$H$8)-(MIN((($F$8*EXP((((B53))/$C$17)*$G$8))*1000/1.12/$I$8),$B$20)*$I$8*$H$8))*IF(NVTable_Data_Entry!$D$68=1,0.313,IF(NVTable_Data_Entry!$D$68=2,0.263,0.403))/0.6))</f>
        <v>44.29294868928013</v>
      </c>
      <c r="D53" s="111">
        <f t="shared" si="0"/>
        <v>0.004666666666666666</v>
      </c>
      <c r="E53" s="111">
        <f t="shared" si="1"/>
        <v>27.922614288320954</v>
      </c>
      <c r="F53" s="111">
        <f t="shared" si="2"/>
        <v>87.13224532456105</v>
      </c>
      <c r="G53" s="111">
        <f t="shared" si="3"/>
        <v>141.51101817661382</v>
      </c>
      <c r="H53" s="111">
        <f t="shared" si="4"/>
        <v>7</v>
      </c>
      <c r="I53" s="111">
        <f t="shared" si="6"/>
        <v>100.68621235058032</v>
      </c>
      <c r="J53" s="111"/>
      <c r="K53" s="111"/>
      <c r="L53" s="111"/>
      <c r="M53" s="111"/>
      <c r="N53" s="111"/>
      <c r="O53" s="111"/>
    </row>
    <row r="54" spans="1:15" ht="12.75">
      <c r="A54" s="111">
        <v>18</v>
      </c>
      <c r="B54" s="111">
        <v>0.43</v>
      </c>
      <c r="C54" s="111">
        <f>((((MIN((($F$8*EXP((((B54))/$C$17)*$G$8))*1000/1.12/$I$8*$B$17),$B$20)*$I$8*$H$8)-(MIN((($F$8*EXP((((B54))/$C$17)*$G$8))*1000/1.12/$I$8),$B$20)*$I$8*$H$8))*IF(NVTable_Data_Entry!$D$68=1,0.313,IF(NVTable_Data_Entry!$D$68=2,0.263,0.403))/0.6))</f>
        <v>43.656573090910875</v>
      </c>
      <c r="D54" s="111">
        <f t="shared" si="0"/>
        <v>0.0047777777777777775</v>
      </c>
      <c r="E54" s="111">
        <f t="shared" si="1"/>
        <v>28.773304194839397</v>
      </c>
      <c r="F54" s="111">
        <f t="shared" si="2"/>
        <v>87.13224532456105</v>
      </c>
      <c r="G54" s="111">
        <f t="shared" si="3"/>
        <v>139.47786930003474</v>
      </c>
      <c r="H54" s="111">
        <f t="shared" si="4"/>
        <v>7</v>
      </c>
      <c r="I54" s="111">
        <f t="shared" si="6"/>
        <v>100.68621235058032</v>
      </c>
      <c r="J54" s="111"/>
      <c r="K54" s="111"/>
      <c r="L54" s="111"/>
      <c r="M54" s="111"/>
      <c r="N54" s="111"/>
      <c r="O54" s="111"/>
    </row>
    <row r="55" spans="1:15" ht="12.75">
      <c r="A55" s="111">
        <v>19</v>
      </c>
      <c r="B55" s="111">
        <v>0.44</v>
      </c>
      <c r="C55" s="111">
        <f>((((MIN((($F$8*EXP((((B55))/$C$17)*$G$8))*1000/1.12/$I$8*$B$17),$B$20)*$I$8*$H$8)-(MIN((($F$8*EXP((((B55))/$C$17)*$G$8))*1000/1.12/$I$8),$B$20)*$I$8*$H$8))*IF(NVTable_Data_Entry!$D$68=1,0.313,IF(NVTable_Data_Entry!$D$68=2,0.263,0.403))/0.6))</f>
        <v>43.000809684054296</v>
      </c>
      <c r="D55" s="111">
        <f t="shared" si="0"/>
        <v>0.004888888888888889</v>
      </c>
      <c r="E55" s="111">
        <f t="shared" si="1"/>
        <v>29.649911206023614</v>
      </c>
      <c r="F55" s="111">
        <f t="shared" si="2"/>
        <v>87.13224532456105</v>
      </c>
      <c r="G55" s="111">
        <f t="shared" si="3"/>
        <v>137.38277854330445</v>
      </c>
      <c r="H55" s="111">
        <f t="shared" si="4"/>
        <v>7</v>
      </c>
      <c r="I55" s="111">
        <f t="shared" si="6"/>
        <v>100.68621235058032</v>
      </c>
      <c r="J55" s="111"/>
      <c r="K55" s="111"/>
      <c r="L55" s="111"/>
      <c r="M55" s="111"/>
      <c r="N55" s="111"/>
      <c r="O55" s="111"/>
    </row>
    <row r="56" spans="1:15" ht="12.75">
      <c r="A56" s="111">
        <v>20</v>
      </c>
      <c r="B56" s="111">
        <v>0.45</v>
      </c>
      <c r="C56" s="111">
        <f>((((MIN((($F$8*EXP((((B56))/$C$17)*$G$8))*1000/1.12/$I$8*$B$17),$B$20)*$I$8*$H$8)-(MIN((($F$8*EXP((((B56))/$C$17)*$G$8))*1000/1.12/$I$8),$B$20)*$I$8*$H$8))*IF(NVTable_Data_Entry!$D$68=1,0.313,IF(NVTable_Data_Entry!$D$68=2,0.263,0.403))/0.6))</f>
        <v>42.32506780005669</v>
      </c>
      <c r="D56" s="111">
        <f t="shared" si="0"/>
        <v>0.005</v>
      </c>
      <c r="E56" s="111">
        <f t="shared" si="1"/>
        <v>30.553224911957027</v>
      </c>
      <c r="F56" s="111">
        <f t="shared" si="2"/>
        <v>87.13224532456105</v>
      </c>
      <c r="G56" s="111">
        <f t="shared" si="3"/>
        <v>135.2238587861236</v>
      </c>
      <c r="H56" s="111">
        <f t="shared" si="4"/>
        <v>7</v>
      </c>
      <c r="I56" s="111">
        <f t="shared" si="6"/>
        <v>100.68621235058032</v>
      </c>
      <c r="J56" s="111"/>
      <c r="K56" s="111"/>
      <c r="L56" s="111"/>
      <c r="M56" s="111"/>
      <c r="N56" s="111"/>
      <c r="O56" s="111"/>
    </row>
    <row r="57" spans="1:15" ht="12.75">
      <c r="A57" s="111">
        <v>21</v>
      </c>
      <c r="B57" s="111">
        <v>0.46</v>
      </c>
      <c r="C57" s="111">
        <f>((((MIN((($F$8*EXP((((B57))/$C$17)*$G$8))*1000/1.12/$I$8*$B$17),$B$20)*$I$8*$H$8)-(MIN((($F$8*EXP((((B57))/$C$17)*$G$8))*1000/1.12/$I$8),$B$20)*$I$8*$H$8))*IF(NVTable_Data_Entry!$D$68=1,0.313,IF(NVTable_Data_Entry!$D$68=2,0.263,0.403))/0.6))</f>
        <v>41.628738774962876</v>
      </c>
      <c r="D57" s="111">
        <f t="shared" si="0"/>
        <v>0.005111111111111111</v>
      </c>
      <c r="E57" s="111">
        <f t="shared" si="1"/>
        <v>31.48405895836152</v>
      </c>
      <c r="F57" s="111">
        <f t="shared" si="2"/>
        <v>87.13224532456105</v>
      </c>
      <c r="G57" s="111">
        <f t="shared" si="3"/>
        <v>132.99916541521688</v>
      </c>
      <c r="H57" s="111">
        <f t="shared" si="4"/>
        <v>7</v>
      </c>
      <c r="I57" s="111">
        <f t="shared" si="6"/>
        <v>100.68621235058032</v>
      </c>
      <c r="J57" s="111"/>
      <c r="K57" s="111"/>
      <c r="L57" s="111"/>
      <c r="M57" s="111"/>
      <c r="N57" s="111"/>
      <c r="O57" s="111"/>
    </row>
    <row r="58" spans="1:15" ht="12.75">
      <c r="A58" s="111">
        <v>22</v>
      </c>
      <c r="B58" s="111">
        <v>0.47</v>
      </c>
      <c r="C58" s="111">
        <f>((((MIN((($F$8*EXP((((B58))/$C$17)*$G$8))*1000/1.12/$I$8*$B$17),$B$20)*$I$8*$H$8)-(MIN((($F$8*EXP((((B58))/$C$17)*$G$8))*1000/1.12/$I$8),$B$20)*$I$8*$H$8))*IF(NVTable_Data_Entry!$D$68=1,0.313,IF(NVTable_Data_Entry!$D$68=2,0.263,0.403))/0.6))</f>
        <v>40.91119540127168</v>
      </c>
      <c r="D58" s="111">
        <f t="shared" si="0"/>
        <v>0.005222222222222222</v>
      </c>
      <c r="E58" s="111">
        <f t="shared" si="1"/>
        <v>32.44325177947613</v>
      </c>
      <c r="F58" s="111">
        <f t="shared" si="2"/>
        <v>87.13224532456105</v>
      </c>
      <c r="G58" s="111">
        <f t="shared" si="3"/>
        <v>130.70669457275298</v>
      </c>
      <c r="H58" s="111">
        <f t="shared" si="4"/>
        <v>7</v>
      </c>
      <c r="I58" s="111">
        <f t="shared" si="6"/>
        <v>100.68621235058032</v>
      </c>
      <c r="J58" s="111"/>
      <c r="K58" s="111"/>
      <c r="L58" s="111"/>
      <c r="M58" s="111"/>
      <c r="N58" s="111"/>
      <c r="O58" s="111"/>
    </row>
    <row r="59" spans="1:15" ht="12.75">
      <c r="A59" s="111">
        <v>23</v>
      </c>
      <c r="B59" s="111">
        <v>0.48</v>
      </c>
      <c r="C59" s="111">
        <f>((((MIN((($F$8*EXP((((B59))/$C$17)*$G$8))*1000/1.12/$I$8*$B$17),$B$20)*$I$8*$H$8)-(MIN((($F$8*EXP((((B59))/$C$17)*$G$8))*1000/1.12/$I$8),$B$20)*$I$8*$H$8))*IF(NVTable_Data_Entry!$D$68=1,0.313,IF(NVTable_Data_Entry!$D$68=2,0.263,0.403))/0.6))</f>
        <v>40.171791362988486</v>
      </c>
      <c r="D59" s="111">
        <f t="shared" si="0"/>
        <v>0.005333333333333333</v>
      </c>
      <c r="E59" s="111">
        <f t="shared" si="1"/>
        <v>33.431667353263606</v>
      </c>
      <c r="F59" s="111">
        <f t="shared" si="2"/>
        <v>87.13224532456105</v>
      </c>
      <c r="G59" s="111">
        <f t="shared" si="3"/>
        <v>128.3443813514009</v>
      </c>
      <c r="H59" s="111">
        <f t="shared" si="4"/>
        <v>7</v>
      </c>
      <c r="I59" s="111">
        <f t="shared" si="6"/>
        <v>100.68621235058032</v>
      </c>
      <c r="J59" s="111"/>
      <c r="K59" s="111"/>
      <c r="L59" s="111"/>
      <c r="M59" s="111"/>
      <c r="N59" s="111"/>
      <c r="O59" s="111"/>
    </row>
    <row r="60" spans="1:15" ht="12.75">
      <c r="A60" s="111">
        <v>24</v>
      </c>
      <c r="B60" s="111">
        <v>0.49</v>
      </c>
      <c r="C60" s="111">
        <f>((((MIN((($F$8*EXP((((B60))/$C$17)*$G$8))*1000/1.12/$I$8*$B$17),$B$20)*$I$8*$H$8)-(MIN((($F$8*EXP((((B60))/$C$17)*$G$8))*1000/1.12/$I$8),$B$20)*$I$8*$H$8))*IF(NVTable_Data_Entry!$D$68=1,0.313,IF(NVTable_Data_Entry!$D$68=2,0.263,0.403))/0.6))</f>
        <v>39.409860653466275</v>
      </c>
      <c r="D60" s="111">
        <f t="shared" si="0"/>
        <v>0.0054444444444444445</v>
      </c>
      <c r="E60" s="111">
        <f t="shared" si="1"/>
        <v>34.450195979625036</v>
      </c>
      <c r="F60" s="111">
        <f t="shared" si="2"/>
        <v>87.13224532456105</v>
      </c>
      <c r="G60" s="111">
        <f t="shared" si="3"/>
        <v>125.91009793439706</v>
      </c>
      <c r="H60" s="111">
        <f t="shared" si="4"/>
        <v>7</v>
      </c>
      <c r="I60" s="111">
        <f t="shared" si="6"/>
        <v>100.68621235058032</v>
      </c>
      <c r="J60" s="111"/>
      <c r="K60" s="111"/>
      <c r="L60" s="111"/>
      <c r="M60" s="111"/>
      <c r="N60" s="111"/>
      <c r="O60" s="111"/>
    </row>
    <row r="61" spans="1:15" ht="12.75">
      <c r="A61" s="111">
        <v>25</v>
      </c>
      <c r="B61" s="111">
        <v>0.5</v>
      </c>
      <c r="C61" s="111">
        <f>((((MIN((($F$8*EXP((((B61))/$C$17)*$G$8))*1000/1.12/$I$8*$B$17),$B$20)*$I$8*$H$8)-(MIN((($F$8*EXP((((B61))/$C$17)*$G$8))*1000/1.12/$I$8),$B$20)*$I$8*$H$8))*IF(NVTable_Data_Entry!$D$68=1,0.313,IF(NVTable_Data_Entry!$D$68=2,0.263,0.403))/0.6))</f>
        <v>38.62471697551054</v>
      </c>
      <c r="D61" s="111">
        <f t="shared" si="0"/>
        <v>0.005555555555555556</v>
      </c>
      <c r="E61" s="111">
        <f t="shared" si="1"/>
        <v>35.49975508232364</v>
      </c>
      <c r="F61" s="111">
        <f t="shared" si="2"/>
        <v>87.13224532456105</v>
      </c>
      <c r="G61" s="111">
        <f t="shared" si="3"/>
        <v>123.40165167894742</v>
      </c>
      <c r="H61" s="111">
        <f t="shared" si="4"/>
        <v>7</v>
      </c>
      <c r="I61" s="111">
        <f t="shared" si="6"/>
        <v>100.68621235058032</v>
      </c>
      <c r="J61" s="111"/>
      <c r="K61" s="111"/>
      <c r="L61" s="111"/>
      <c r="M61" s="111"/>
      <c r="N61" s="111"/>
      <c r="O61" s="111"/>
    </row>
    <row r="62" spans="1:15" ht="12.75">
      <c r="A62" s="111">
        <v>26</v>
      </c>
      <c r="B62" s="111">
        <v>0.51</v>
      </c>
      <c r="C62" s="111">
        <f>((((MIN((($F$8*EXP((((B62))/$C$17)*$G$8))*1000/1.12/$I$8*$B$17),$B$20)*$I$8*$H$8)-(MIN((($F$8*EXP((((B62))/$C$17)*$G$8))*1000/1.12/$I$8),$B$20)*$I$8*$H$8))*IF(NVTable_Data_Entry!$D$68=1,0.313,IF(NVTable_Data_Entry!$D$68=2,0.263,0.403))/0.6))</f>
        <v>37.81565312320768</v>
      </c>
      <c r="D62" s="111">
        <f t="shared" si="0"/>
        <v>0.005666666666666667</v>
      </c>
      <c r="E62" s="111">
        <f t="shared" si="1"/>
        <v>36.58129003533987</v>
      </c>
      <c r="F62" s="111">
        <f t="shared" si="2"/>
        <v>87.13224532456105</v>
      </c>
      <c r="G62" s="111">
        <f t="shared" si="3"/>
        <v>120.81678314123862</v>
      </c>
      <c r="H62" s="111">
        <f t="shared" si="4"/>
        <v>7</v>
      </c>
      <c r="I62" s="111">
        <f t="shared" si="6"/>
        <v>100.68621235058032</v>
      </c>
      <c r="J62" s="111"/>
      <c r="K62" s="111"/>
      <c r="L62" s="111"/>
      <c r="M62" s="111"/>
      <c r="N62" s="111"/>
      <c r="O62" s="111"/>
    </row>
    <row r="63" spans="1:15" ht="12.75">
      <c r="A63" s="111">
        <v>27</v>
      </c>
      <c r="B63" s="111">
        <v>0.52</v>
      </c>
      <c r="C63" s="111">
        <f>((((MIN((($F$8*EXP((((B63))/$C$17)*$G$8))*1000/1.12/$I$8*$B$17),$B$20)*$I$8*$H$8)-(MIN((($F$8*EXP((((B63))/$C$17)*$G$8))*1000/1.12/$I$8),$B$20)*$I$8*$H$8))*IF(NVTable_Data_Entry!$D$68=1,0.313,IF(NVTable_Data_Entry!$D$68=2,0.263,0.403))/0.6))</f>
        <v>36.98194034492046</v>
      </c>
      <c r="D63" s="111">
        <f t="shared" si="0"/>
        <v>0.005777777777777778</v>
      </c>
      <c r="E63" s="111">
        <f t="shared" si="1"/>
        <v>37.695775014402294</v>
      </c>
      <c r="F63" s="111">
        <f t="shared" si="2"/>
        <v>87.13224532456105</v>
      </c>
      <c r="G63" s="111">
        <f t="shared" si="3"/>
        <v>118.15316404127941</v>
      </c>
      <c r="H63" s="111">
        <f t="shared" si="4"/>
        <v>7</v>
      </c>
      <c r="I63" s="111">
        <f t="shared" si="6"/>
        <v>100.68621235058032</v>
      </c>
      <c r="J63" s="111"/>
      <c r="K63" s="111"/>
      <c r="L63" s="111"/>
      <c r="M63" s="111"/>
      <c r="N63" s="111"/>
      <c r="O63" s="111"/>
    </row>
    <row r="64" spans="1:15" ht="12.75">
      <c r="A64" s="111">
        <v>28</v>
      </c>
      <c r="B64" s="111">
        <v>0.53</v>
      </c>
      <c r="C64" s="111">
        <f>((((MIN((($F$8*EXP((((B64))/$C$17)*$G$8))*1000/1.12/$I$8*$B$17),$B$20)*$I$8*$H$8)-(MIN((($F$8*EXP((((B64))/$C$17)*$G$8))*1000/1.12/$I$8),$B$20)*$I$8*$H$8))*IF(NVTable_Data_Entry!$D$68=1,0.313,IF(NVTable_Data_Entry!$D$68=2,0.263,0.403))/0.6))</f>
        <v>36.12282768687624</v>
      </c>
      <c r="D64" s="111">
        <f t="shared" si="0"/>
        <v>0.005888888888888889</v>
      </c>
      <c r="E64" s="111">
        <f t="shared" si="1"/>
        <v>38.84421387446113</v>
      </c>
      <c r="F64" s="111">
        <f t="shared" si="2"/>
        <v>87.13224532456105</v>
      </c>
      <c r="G64" s="111">
        <f t="shared" si="3"/>
        <v>115.40839516573881</v>
      </c>
      <c r="H64" s="111">
        <f t="shared" si="4"/>
        <v>7</v>
      </c>
      <c r="I64" s="111">
        <f t="shared" si="6"/>
        <v>100.68621235058032</v>
      </c>
      <c r="J64" s="111"/>
      <c r="K64" s="111"/>
      <c r="L64" s="111"/>
      <c r="M64" s="111"/>
      <c r="N64" s="111"/>
      <c r="O64" s="111"/>
    </row>
    <row r="65" spans="1:15" ht="12.75">
      <c r="A65" s="111">
        <v>29</v>
      </c>
      <c r="B65" s="111">
        <v>0.54</v>
      </c>
      <c r="C65" s="111">
        <f>((((MIN((($F$8*EXP((((B65))/$C$17)*$G$8))*1000/1.12/$I$8*$B$17),$B$20)*$I$8*$H$8)-(MIN((($F$8*EXP((((B65))/$C$17)*$G$8))*1000/1.12/$I$8),$B$20)*$I$8*$H$8))*IF(NVTable_Data_Entry!$D$68=1,0.313,IF(NVTable_Data_Entry!$D$68=2,0.263,0.403))/0.6))</f>
        <v>35.23754131675714</v>
      </c>
      <c r="D65" s="111">
        <f t="shared" si="0"/>
        <v>0.006</v>
      </c>
      <c r="E65" s="111">
        <f t="shared" si="1"/>
        <v>40.02764105389502</v>
      </c>
      <c r="F65" s="111">
        <f t="shared" si="2"/>
        <v>87.13224532456105</v>
      </c>
      <c r="G65" s="111">
        <f t="shared" si="3"/>
        <v>112.58000420689181</v>
      </c>
      <c r="H65" s="111">
        <f t="shared" si="4"/>
        <v>7</v>
      </c>
      <c r="I65" s="111">
        <f t="shared" si="6"/>
        <v>100.68621235058032</v>
      </c>
      <c r="J65" s="111"/>
      <c r="K65" s="111"/>
      <c r="L65" s="111"/>
      <c r="M65" s="111"/>
      <c r="N65" s="111"/>
      <c r="O65" s="111"/>
    </row>
    <row r="66" spans="1:15" ht="12.75">
      <c r="A66" s="111">
        <v>30</v>
      </c>
      <c r="B66" s="111">
        <v>0.55</v>
      </c>
      <c r="C66" s="111">
        <f>((((MIN((($F$8*EXP((((B66))/$C$17)*$G$8))*1000/1.12/$I$8*$B$17),$B$20)*$I$8*$H$8)-(MIN((($F$8*EXP((((B66))/$C$17)*$G$8))*1000/1.12/$I$8),$B$20)*$I$8*$H$8))*IF(NVTable_Data_Entry!$D$68=1,0.313,IF(NVTable_Data_Entry!$D$68=2,0.263,0.403))/0.6))</f>
        <v>34.32528382668264</v>
      </c>
      <c r="D66" s="111">
        <f t="shared" si="0"/>
        <v>0.006111111111111111</v>
      </c>
      <c r="E66" s="111">
        <f t="shared" si="1"/>
        <v>41.247122506265114</v>
      </c>
      <c r="F66" s="111">
        <f t="shared" si="2"/>
        <v>87.13224532456105</v>
      </c>
      <c r="G66" s="111">
        <f t="shared" si="3"/>
        <v>109.66544353572729</v>
      </c>
      <c r="H66" s="111">
        <f t="shared" si="4"/>
        <v>7</v>
      </c>
      <c r="I66" s="111">
        <f t="shared" si="6"/>
        <v>100.68621235058032</v>
      </c>
      <c r="J66" s="111"/>
      <c r="K66" s="111"/>
      <c r="L66" s="111"/>
      <c r="M66" s="111"/>
      <c r="N66" s="111"/>
      <c r="O66" s="111"/>
    </row>
    <row r="67" spans="1:15" ht="12.75">
      <c r="A67" s="111">
        <v>31</v>
      </c>
      <c r="B67" s="111">
        <v>0.56</v>
      </c>
      <c r="C67" s="111">
        <f>((((MIN((($F$8*EXP((((B67))/$C$17)*$G$8))*1000/1.12/$I$8*$B$17),$B$20)*$I$8*$H$8)-(MIN((($F$8*EXP((((B67))/$C$17)*$G$8))*1000/1.12/$I$8),$B$20)*$I$8*$H$8))*IF(NVTable_Data_Entry!$D$68=1,0.313,IF(NVTable_Data_Entry!$D$68=2,0.263,0.403))/0.6))</f>
        <v>33.38523351495687</v>
      </c>
      <c r="D67" s="111">
        <f t="shared" si="0"/>
        <v>0.006222222222222223</v>
      </c>
      <c r="E67" s="111">
        <f t="shared" si="1"/>
        <v>42.503756660456254</v>
      </c>
      <c r="F67" s="111">
        <f t="shared" si="2"/>
        <v>87.13224532456105</v>
      </c>
      <c r="G67" s="111">
        <f t="shared" si="3"/>
        <v>106.66208790721045</v>
      </c>
      <c r="H67" s="111">
        <f t="shared" si="4"/>
        <v>7</v>
      </c>
      <c r="I67" s="111">
        <f t="shared" si="6"/>
        <v>100.68621235058032</v>
      </c>
      <c r="J67" s="111"/>
      <c r="K67" s="111"/>
      <c r="L67" s="111"/>
      <c r="M67" s="111"/>
      <c r="N67" s="111"/>
      <c r="O67" s="111"/>
    </row>
    <row r="68" spans="1:15" ht="12.75">
      <c r="A68" s="111">
        <v>32</v>
      </c>
      <c r="B68" s="111">
        <v>0.57</v>
      </c>
      <c r="C68" s="111">
        <f>((((MIN((($F$8*EXP((((B68))/$C$17)*$G$8))*1000/1.12/$I$8*$B$17),$B$20)*$I$8*$H$8)-(MIN((($F$8*EXP((((B68))/$C$17)*$G$8))*1000/1.12/$I$8),$B$20)*$I$8*$H$8))*IF(NVTable_Data_Entry!$D$68=1,0.313,IF(NVTable_Data_Entry!$D$68=2,0.263,0.403))/0.6))</f>
        <v>32.41654364593368</v>
      </c>
      <c r="D68" s="111">
        <f t="shared" si="0"/>
        <v>0.006333333333333333</v>
      </c>
      <c r="E68" s="111">
        <f t="shared" si="1"/>
        <v>43.79867541006952</v>
      </c>
      <c r="F68" s="111">
        <f t="shared" si="2"/>
        <v>87.13224532456105</v>
      </c>
      <c r="G68" s="111">
        <f t="shared" si="3"/>
        <v>103.56723209563475</v>
      </c>
      <c r="H68" s="111">
        <f t="shared" si="4"/>
        <v>7</v>
      </c>
      <c r="I68" s="111">
        <f t="shared" si="6"/>
        <v>100.68621235058032</v>
      </c>
      <c r="J68" s="111"/>
      <c r="K68" s="111"/>
      <c r="L68" s="111"/>
      <c r="M68" s="111"/>
      <c r="N68" s="111"/>
      <c r="O68" s="111"/>
    </row>
    <row r="69" spans="1:15" ht="12.75">
      <c r="A69" s="111">
        <v>33</v>
      </c>
      <c r="B69" s="111">
        <v>0.58</v>
      </c>
      <c r="C69" s="111">
        <f>((((MIN((($F$8*EXP((((B69))/$C$17)*$G$8))*1000/1.12/$I$8*$B$17),$B$20)*$I$8*$H$8)-(MIN((($F$8*EXP((((B69))/$C$17)*$G$8))*1000/1.12/$I$8),$B$20)*$I$8*$H$8))*IF(NVTable_Data_Entry!$D$68=1,0.313,IF(NVTable_Data_Entry!$D$68=2,0.263,0.403))/0.6))</f>
        <v>31.41834168733263</v>
      </c>
      <c r="D69" s="111">
        <f t="shared" si="0"/>
        <v>0.006444444444444444</v>
      </c>
      <c r="E69" s="111">
        <f t="shared" si="1"/>
        <v>45.13304513295782</v>
      </c>
      <c r="F69" s="111">
        <f t="shared" si="2"/>
        <v>87.13224532456105</v>
      </c>
      <c r="G69" s="111">
        <f t="shared" si="3"/>
        <v>100.37808845793172</v>
      </c>
      <c r="H69" s="111">
        <f t="shared" si="4"/>
        <v>7</v>
      </c>
      <c r="I69" s="111">
        <f t="shared" si="6"/>
        <v>100.68621235058032</v>
      </c>
      <c r="J69" s="111"/>
      <c r="K69" s="111"/>
      <c r="L69" s="111"/>
      <c r="M69" s="111"/>
      <c r="N69" s="111"/>
      <c r="O69" s="111"/>
    </row>
    <row r="70" spans="1:15" ht="12.75">
      <c r="A70" s="111">
        <v>34</v>
      </c>
      <c r="B70" s="111">
        <v>0.59</v>
      </c>
      <c r="C70" s="111">
        <f>((((MIN((($F$8*EXP((((B70))/$C$17)*$G$8))*1000/1.12/$I$8*$B$17),$B$20)*$I$8*$H$8)-(MIN((($F$8*EXP((((B70))/$C$17)*$G$8))*1000/1.12/$I$8),$B$20)*$I$8*$H$8))*IF(NVTable_Data_Entry!$D$68=1,0.313,IF(NVTable_Data_Entry!$D$68=2,0.263,0.403))/0.6))</f>
        <v>30.38972852431925</v>
      </c>
      <c r="D70" s="111">
        <f t="shared" si="0"/>
        <v>0.006555555555555555</v>
      </c>
      <c r="E70" s="111">
        <f t="shared" si="1"/>
        <v>46.50806774182247</v>
      </c>
      <c r="F70" s="111">
        <f t="shared" si="2"/>
        <v>87.13224532456105</v>
      </c>
      <c r="G70" s="111">
        <f t="shared" si="3"/>
        <v>97.0917844227452</v>
      </c>
      <c r="H70" s="111">
        <f t="shared" si="4"/>
        <v>7</v>
      </c>
      <c r="I70" s="111">
        <f t="shared" si="6"/>
        <v>100.68621235058032</v>
      </c>
      <c r="J70" s="111"/>
      <c r="K70" s="111"/>
      <c r="L70" s="111"/>
      <c r="M70" s="111"/>
      <c r="N70" s="111"/>
      <c r="O70" s="111"/>
    </row>
    <row r="71" spans="1:15" ht="12.75">
      <c r="A71" s="111">
        <v>35</v>
      </c>
      <c r="B71" s="111">
        <v>0.6</v>
      </c>
      <c r="C71" s="111">
        <f>((((MIN((($F$8*EXP((((B71))/$C$17)*$G$8))*1000/1.12/$I$8*$B$17),$B$20)*$I$8*$H$8)-(MIN((($F$8*EXP((((B71))/$C$17)*$G$8))*1000/1.12/$I$8),$B$20)*$I$8*$H$8))*IF(NVTable_Data_Entry!$D$68=1,0.313,IF(NVTable_Data_Entry!$D$68=2,0.263,0.403))/0.6))</f>
        <v>29.32977764964132</v>
      </c>
      <c r="D71" s="111">
        <f t="shared" si="0"/>
        <v>0.006666666666666666</v>
      </c>
      <c r="E71" s="111">
        <f t="shared" si="1"/>
        <v>47.92498176681736</v>
      </c>
      <c r="F71" s="111">
        <f t="shared" si="2"/>
        <v>87.13224532456105</v>
      </c>
      <c r="G71" s="111">
        <f t="shared" si="3"/>
        <v>93.7053599030074</v>
      </c>
      <c r="H71" s="111">
        <f t="shared" si="4"/>
        <v>7</v>
      </c>
      <c r="I71" s="111">
        <f t="shared" si="6"/>
        <v>100.68621235058032</v>
      </c>
      <c r="J71" s="111"/>
      <c r="K71" s="111"/>
      <c r="L71" s="111"/>
      <c r="M71" s="111"/>
      <c r="N71" s="111"/>
      <c r="O71" s="111"/>
    </row>
    <row r="72" spans="1:15" ht="12.75">
      <c r="A72" s="111">
        <v>36</v>
      </c>
      <c r="B72" s="111">
        <v>0.61</v>
      </c>
      <c r="C72" s="111">
        <f>((((MIN((($F$8*EXP((((B72))/$C$17)*$G$8))*1000/1.12/$I$8*$B$17),$B$20)*$I$8*$H$8)-(MIN((($F$8*EXP((((B72))/$C$17)*$G$8))*1000/1.12/$I$8),$B$20)*$I$8*$H$8))*IF(NVTable_Data_Entry!$D$68=1,0.313,IF(NVTable_Data_Entry!$D$68=2,0.263,0.403))/0.6))</f>
        <v>28.23753432909199</v>
      </c>
      <c r="D72" s="111">
        <f t="shared" si="0"/>
        <v>0.0067777777777777775</v>
      </c>
      <c r="E72" s="111">
        <f t="shared" si="1"/>
        <v>49.38506347113558</v>
      </c>
      <c r="F72" s="111">
        <f t="shared" si="2"/>
        <v>87.13224532456105</v>
      </c>
      <c r="G72" s="111">
        <f t="shared" si="3"/>
        <v>90.21576462968687</v>
      </c>
      <c r="H72" s="111">
        <f t="shared" si="4"/>
        <v>6</v>
      </c>
      <c r="I72" s="111">
        <f t="shared" si="6"/>
        <v>86.11084300274787</v>
      </c>
      <c r="J72" s="111"/>
      <c r="K72" s="111"/>
      <c r="L72" s="111"/>
      <c r="M72" s="111"/>
      <c r="N72" s="111"/>
      <c r="O72" s="111"/>
    </row>
    <row r="73" spans="1:15" ht="12.75">
      <c r="A73" s="111">
        <v>37</v>
      </c>
      <c r="B73" s="111">
        <v>0.62</v>
      </c>
      <c r="C73" s="111">
        <f>((((MIN((($F$8*EXP((((B73))/$C$17)*$G$8))*1000/1.12/$I$8*$B$17),$B$20)*$I$8*$H$8)-(MIN((($F$8*EXP((((B73))/$C$17)*$G$8))*1000/1.12/$I$8),$B$20)*$I$8*$H$8))*IF(NVTable_Data_Entry!$D$68=1,0.313,IF(NVTable_Data_Entry!$D$68=2,0.263,0.403))/0.6))</f>
        <v>27.112014741547764</v>
      </c>
      <c r="D73" s="111">
        <f t="shared" si="0"/>
        <v>0.006888888888888889</v>
      </c>
      <c r="E73" s="111">
        <f t="shared" si="1"/>
        <v>50.88962800058366</v>
      </c>
      <c r="F73" s="111">
        <f t="shared" si="2"/>
        <v>87.13224532456105</v>
      </c>
      <c r="G73" s="111">
        <f t="shared" si="3"/>
        <v>86.61985540430595</v>
      </c>
      <c r="H73" s="111">
        <f t="shared" si="4"/>
        <v>6</v>
      </c>
      <c r="I73" s="111">
        <f t="shared" si="6"/>
        <v>86.11084300274787</v>
      </c>
      <c r="J73" s="111"/>
      <c r="K73" s="111"/>
      <c r="L73" s="111"/>
      <c r="M73" s="111"/>
      <c r="N73" s="111"/>
      <c r="O73" s="111"/>
    </row>
    <row r="74" spans="1:15" ht="12.75">
      <c r="A74" s="111">
        <v>38</v>
      </c>
      <c r="B74" s="111">
        <v>0.63</v>
      </c>
      <c r="C74" s="111">
        <f>((((MIN((($F$8*EXP((((B74))/$C$17)*$G$8))*1000/1.12/$I$8*$B$17),$B$20)*$I$8*$H$8)-(MIN((($F$8*EXP((((B74))/$C$17)*$G$8))*1000/1.12/$I$8),$B$20)*$I$8*$H$8))*IF(NVTable_Data_Entry!$D$68=1,0.313,IF(NVTable_Data_Entry!$D$68=2,0.263,0.403))/0.6))</f>
        <v>25.95220509280703</v>
      </c>
      <c r="D74" s="111">
        <f t="shared" si="0"/>
        <v>0.007</v>
      </c>
      <c r="E74" s="111">
        <f t="shared" si="1"/>
        <v>52.440030568178585</v>
      </c>
      <c r="F74" s="111">
        <f t="shared" si="2"/>
        <v>87.13224532456105</v>
      </c>
      <c r="G74" s="111">
        <f t="shared" si="3"/>
        <v>82.9143932677541</v>
      </c>
      <c r="H74" s="111">
        <f t="shared" si="4"/>
        <v>6</v>
      </c>
      <c r="I74" s="111">
        <f t="shared" si="6"/>
        <v>86.11084300274787</v>
      </c>
      <c r="J74" s="111"/>
      <c r="K74" s="111"/>
      <c r="L74" s="111"/>
      <c r="M74" s="111"/>
      <c r="N74" s="111"/>
      <c r="O74" s="111"/>
    </row>
    <row r="75" spans="1:15" ht="12.75">
      <c r="A75" s="111">
        <v>39</v>
      </c>
      <c r="B75" s="111">
        <v>0.64</v>
      </c>
      <c r="C75" s="111">
        <f>((((MIN((($F$8*EXP((((B75))/$C$17)*$G$8))*1000/1.12/$I$8*$B$17),$B$20)*$I$8*$H$8)-(MIN((($F$8*EXP((((B75))/$C$17)*$G$8))*1000/1.12/$I$8),$B$20)*$I$8*$H$8))*IF(NVTable_Data_Entry!$D$68=1,0.313,IF(NVTable_Data_Entry!$D$68=2,0.263,0.403))/0.6))</f>
        <v>24.7570607024308</v>
      </c>
      <c r="D75" s="111">
        <f t="shared" si="0"/>
        <v>0.0071111111111111115</v>
      </c>
      <c r="E75" s="111">
        <f t="shared" si="1"/>
        <v>54.03766767483469</v>
      </c>
      <c r="F75" s="111">
        <f t="shared" si="2"/>
        <v>87.13224532456105</v>
      </c>
      <c r="G75" s="111">
        <f t="shared" si="3"/>
        <v>79.096040582846</v>
      </c>
      <c r="H75" s="111">
        <f t="shared" si="4"/>
        <v>6</v>
      </c>
      <c r="I75" s="111">
        <f t="shared" si="6"/>
        <v>86.11084300274787</v>
      </c>
      <c r="J75" s="111"/>
      <c r="K75" s="111"/>
      <c r="L75" s="111"/>
      <c r="M75" s="111"/>
      <c r="N75" s="111"/>
      <c r="O75" s="111"/>
    </row>
    <row r="76" spans="1:15" ht="12.75">
      <c r="A76" s="111">
        <v>40</v>
      </c>
      <c r="B76" s="111">
        <v>0.65</v>
      </c>
      <c r="C76" s="111">
        <f>((((MIN((($F$8*EXP((((B76))/$C$17)*$G$8))*1000/1.12/$I$8*$B$17),$B$20)*$I$8*$H$8)-(MIN((($F$8*EXP((((B76))/$C$17)*$G$8))*1000/1.12/$I$8),$B$20)*$I$8*$H$8))*IF(NVTable_Data_Entry!$D$68=1,0.313,IF(NVTable_Data_Entry!$D$68=2,0.263,0.403))/0.6))</f>
        <v>23.525505062762935</v>
      </c>
      <c r="D76" s="111">
        <f t="shared" si="0"/>
        <v>0.007222222222222223</v>
      </c>
      <c r="E76" s="111">
        <f t="shared" si="1"/>
        <v>55.6839783672403</v>
      </c>
      <c r="F76" s="111">
        <f t="shared" si="2"/>
        <v>87.13224532456105</v>
      </c>
      <c r="G76" s="111">
        <f t="shared" si="3"/>
        <v>75.1613580279966</v>
      </c>
      <c r="H76" s="111">
        <f t="shared" si="4"/>
        <v>5</v>
      </c>
      <c r="I76" s="111">
        <f t="shared" si="6"/>
        <v>71.9231045662875</v>
      </c>
      <c r="J76" s="111"/>
      <c r="K76" s="111"/>
      <c r="L76" s="111"/>
      <c r="M76" s="111"/>
      <c r="N76" s="111"/>
      <c r="O76" s="111"/>
    </row>
    <row r="77" spans="1:15" ht="12.75">
      <c r="A77" s="111">
        <v>41</v>
      </c>
      <c r="B77" s="111">
        <v>0.66</v>
      </c>
      <c r="C77" s="111">
        <f>((((MIN((($F$8*EXP((((B77))/$C$17)*$G$8))*1000/1.12/$I$8*$B$17),$B$20)*$I$8*$H$8)-(MIN((($F$8*EXP((((B77))/$C$17)*$G$8))*1000/1.12/$I$8),$B$20)*$I$8*$H$8))*IF(NVTable_Data_Entry!$D$68=1,0.313,IF(NVTable_Data_Entry!$D$68=2,0.263,0.403))/0.6))</f>
        <v>22.25642886928291</v>
      </c>
      <c r="D77" s="111">
        <f t="shared" si="0"/>
        <v>0.007333333333333334</v>
      </c>
      <c r="E77" s="111">
        <f t="shared" si="1"/>
        <v>57.38044553405627</v>
      </c>
      <c r="F77" s="111">
        <f t="shared" si="2"/>
        <v>87.13224532456105</v>
      </c>
      <c r="G77" s="111">
        <f t="shared" si="3"/>
        <v>71.10680149930643</v>
      </c>
      <c r="H77" s="111">
        <f t="shared" si="4"/>
        <v>5</v>
      </c>
      <c r="I77" s="111">
        <f t="shared" si="6"/>
        <v>71.9231045662875</v>
      </c>
      <c r="J77" s="111"/>
      <c r="K77" s="111"/>
      <c r="L77" s="111"/>
      <c r="M77" s="111"/>
      <c r="N77" s="111"/>
      <c r="O77" s="111"/>
    </row>
    <row r="78" spans="1:15" ht="12.75">
      <c r="A78" s="111">
        <v>42</v>
      </c>
      <c r="B78" s="111">
        <v>0.67</v>
      </c>
      <c r="C78" s="111">
        <f>((((MIN((($F$8*EXP((((B78))/$C$17)*$G$8))*1000/1.12/$I$8*$B$17),$B$20)*$I$8*$H$8)-(MIN((($F$8*EXP((((B78))/$C$17)*$G$8))*1000/1.12/$I$8),$B$20)*$I$8*$H$8))*IF(NVTable_Data_Entry!$D$68=1,0.313,IF(NVTable_Data_Entry!$D$68=2,0.263,0.403))/0.6))</f>
        <v>20.948689021416936</v>
      </c>
      <c r="D78" s="111">
        <f t="shared" si="0"/>
        <v>0.0074444444444444445</v>
      </c>
      <c r="E78" s="111">
        <f t="shared" si="1"/>
        <v>59.12859724160499</v>
      </c>
      <c r="F78" s="111">
        <f t="shared" si="2"/>
        <v>87.13224532456105</v>
      </c>
      <c r="G78" s="111">
        <f t="shared" si="3"/>
        <v>66.92871891826498</v>
      </c>
      <c r="H78" s="111">
        <f t="shared" si="4"/>
        <v>5</v>
      </c>
      <c r="I78" s="111">
        <f t="shared" si="6"/>
        <v>71.9231045662875</v>
      </c>
      <c r="J78" s="111"/>
      <c r="K78" s="111"/>
      <c r="L78" s="111"/>
      <c r="M78" s="111"/>
      <c r="N78" s="111"/>
      <c r="O78" s="111"/>
    </row>
    <row r="79" spans="1:15" ht="12.75">
      <c r="A79" s="111">
        <v>43</v>
      </c>
      <c r="B79" s="111">
        <v>0.68</v>
      </c>
      <c r="C79" s="111">
        <f>((((MIN((($F$8*EXP((((B79))/$C$17)*$G$8))*1000/1.12/$I$8*$B$17),$B$20)*$I$8*$H$8)-(MIN((($F$8*EXP((((B79))/$C$17)*$G$8))*1000/1.12/$I$8),$B$20)*$I$8*$H$8))*IF(NVTable_Data_Entry!$D$68=1,0.313,IF(NVTable_Data_Entry!$D$68=2,0.263,0.403))/0.6))</f>
        <v>19.601107592907955</v>
      </c>
      <c r="D79" s="111">
        <f t="shared" si="0"/>
        <v>0.007555555555555556</v>
      </c>
      <c r="E79" s="111">
        <f t="shared" si="1"/>
        <v>60.93000811025229</v>
      </c>
      <c r="F79" s="111">
        <f t="shared" si="2"/>
        <v>87.13224532456105</v>
      </c>
      <c r="G79" s="111">
        <f t="shared" si="3"/>
        <v>62.623346942197934</v>
      </c>
      <c r="H79" s="111">
        <f t="shared" si="4"/>
        <v>4</v>
      </c>
      <c r="I79" s="111">
        <f t="shared" si="6"/>
        <v>57.34773521845503</v>
      </c>
      <c r="J79" s="111"/>
      <c r="K79" s="111"/>
      <c r="L79" s="111"/>
      <c r="M79" s="111"/>
      <c r="N79" s="111"/>
      <c r="O79" s="111"/>
    </row>
    <row r="80" spans="1:15" ht="12.75">
      <c r="A80" s="111">
        <v>44</v>
      </c>
      <c r="B80" s="111">
        <v>0.69</v>
      </c>
      <c r="C80" s="111">
        <f>((((MIN((($F$8*EXP((((B80))/$C$17)*$G$8))*1000/1.12/$I$8*$B$17),$B$20)*$I$8*$H$8)-(MIN((($F$8*EXP((((B80))/$C$17)*$G$8))*1000/1.12/$I$8),$B$20)*$I$8*$H$8))*IF(NVTable_Data_Entry!$D$68=1,0.313,IF(NVTable_Data_Entry!$D$68=2,0.263,0.403))/0.6))</f>
        <v>18.21247077081702</v>
      </c>
      <c r="D80" s="111">
        <f t="shared" si="0"/>
        <v>0.007666666666666666</v>
      </c>
      <c r="E80" s="111">
        <f t="shared" si="1"/>
        <v>62.78630073272202</v>
      </c>
      <c r="F80" s="111">
        <f t="shared" si="2"/>
        <v>87.13224532456105</v>
      </c>
      <c r="G80" s="111">
        <f t="shared" si="3"/>
        <v>58.186807574495276</v>
      </c>
      <c r="H80" s="111">
        <f t="shared" si="4"/>
        <v>4</v>
      </c>
      <c r="I80" s="111">
        <f t="shared" si="6"/>
        <v>57.34773521845503</v>
      </c>
      <c r="J80" s="111"/>
      <c r="K80" s="111"/>
      <c r="L80" s="111"/>
      <c r="M80" s="111"/>
      <c r="N80" s="111"/>
      <c r="O80" s="111"/>
    </row>
    <row r="81" spans="1:15" ht="12.75">
      <c r="A81" s="111">
        <v>45</v>
      </c>
      <c r="B81" s="111">
        <v>0.7</v>
      </c>
      <c r="C81" s="111">
        <f>((((MIN((($F$8*EXP((((B81))/$C$17)*$G$8))*1000/1.12/$I$8*$B$17),$B$20)*$I$8*$H$8)-(MIN((($F$8*EXP((((B81))/$C$17)*$G$8))*1000/1.12/$I$8),$B$20)*$I$8*$H$8))*IF(NVTable_Data_Entry!$D$68=1,0.313,IF(NVTable_Data_Entry!$D$68=2,0.263,0.403))/0.6))</f>
        <v>16.78152776220014</v>
      </c>
      <c r="D81" s="111">
        <f t="shared" si="0"/>
        <v>0.0077777777777777776</v>
      </c>
      <c r="E81" s="111">
        <f t="shared" si="1"/>
        <v>64.69914713562132</v>
      </c>
      <c r="F81" s="111">
        <f t="shared" si="2"/>
        <v>87.13224532456105</v>
      </c>
      <c r="G81" s="111">
        <f t="shared" si="3"/>
        <v>53.615104671565945</v>
      </c>
      <c r="H81" s="111">
        <f t="shared" si="4"/>
        <v>4</v>
      </c>
      <c r="I81" s="111">
        <f t="shared" si="6"/>
        <v>57.34773521845503</v>
      </c>
      <c r="J81" s="111"/>
      <c r="K81" s="111"/>
      <c r="L81" s="111"/>
      <c r="M81" s="111"/>
      <c r="N81" s="111"/>
      <c r="O81" s="111"/>
    </row>
    <row r="82" spans="1:15" ht="12.75">
      <c r="A82" s="111">
        <v>46</v>
      </c>
      <c r="B82" s="111">
        <v>0.71</v>
      </c>
      <c r="C82" s="111">
        <f>((((MIN((($F$8*EXP((((B82))/$C$17)*$G$8))*1000/1.12/$I$8*$B$17),$B$20)*$I$8*$H$8)-(MIN((($F$8*EXP((((B82))/$C$17)*$G$8))*1000/1.12/$I$8),$B$20)*$I$8*$H$8))*IF(NVTable_Data_Entry!$D$68=1,0.313,IF(NVTable_Data_Entry!$D$68=2,0.263,0.403))/0.6))</f>
        <v>15.306989667476282</v>
      </c>
      <c r="D82" s="111">
        <f t="shared" si="0"/>
        <v>0.007888888888888888</v>
      </c>
      <c r="E82" s="111">
        <f t="shared" si="1"/>
        <v>66.67027028549214</v>
      </c>
      <c r="F82" s="111">
        <f t="shared" si="2"/>
        <v>87.13224532456105</v>
      </c>
      <c r="G82" s="111">
        <f t="shared" si="3"/>
        <v>48.90412034337471</v>
      </c>
      <c r="H82" s="111">
        <f t="shared" si="4"/>
        <v>3</v>
      </c>
      <c r="I82" s="111">
        <f t="shared" si="6"/>
        <v>43.3384771321253</v>
      </c>
      <c r="J82" s="111"/>
      <c r="K82" s="111"/>
      <c r="L82" s="111"/>
      <c r="M82" s="111"/>
      <c r="N82" s="111"/>
      <c r="O82" s="111"/>
    </row>
    <row r="83" spans="1:15" ht="12.75">
      <c r="A83" s="111">
        <v>47</v>
      </c>
      <c r="B83" s="111">
        <v>0.72</v>
      </c>
      <c r="C83" s="111">
        <f>((((MIN((($F$8*EXP((((B83))/$C$17)*$G$8))*1000/1.12/$I$8*$B$17),$B$20)*$I$8*$H$8)-(MIN((($F$8*EXP((((B83))/$C$17)*$G$8))*1000/1.12/$I$8),$B$20)*$I$8*$H$8))*IF(NVTable_Data_Entry!$D$68=1,0.313,IF(NVTable_Data_Entry!$D$68=2,0.263,0.403))/0.6))</f>
        <v>13.78752831947075</v>
      </c>
      <c r="D83" s="111">
        <f t="shared" si="0"/>
        <v>0.008</v>
      </c>
      <c r="E83" s="111">
        <f t="shared" si="1"/>
        <v>68.70144564074704</v>
      </c>
      <c r="F83" s="111">
        <f t="shared" si="2"/>
        <v>87.13224532456105</v>
      </c>
      <c r="G83" s="111">
        <f t="shared" si="3"/>
        <v>44.04961124431549</v>
      </c>
      <c r="H83" s="111">
        <f t="shared" si="4"/>
        <v>3</v>
      </c>
      <c r="I83" s="111">
        <f t="shared" si="6"/>
        <v>43.3384771321253</v>
      </c>
      <c r="J83" s="111"/>
      <c r="K83" s="111"/>
      <c r="L83" s="111"/>
      <c r="M83" s="111"/>
      <c r="N83" s="111"/>
      <c r="O83" s="111"/>
    </row>
    <row r="84" spans="1:15" ht="12.75">
      <c r="A84" s="111">
        <v>48</v>
      </c>
      <c r="B84" s="111">
        <v>0.73</v>
      </c>
      <c r="C84" s="111">
        <f>((((MIN((($F$8*EXP((((B84))/$C$17)*$G$8))*1000/1.12/$I$8*$B$17),$B$20)*$I$8*$H$8)-(MIN((($F$8*EXP((((B84))/$C$17)*$G$8))*1000/1.12/$I$8),$B$20)*$I$8*$H$8))*IF(NVTable_Data_Entry!$D$68=1,0.313,IF(NVTable_Data_Entry!$D$68=2,0.263,0.403))/0.6))</f>
        <v>12.221775087089865</v>
      </c>
      <c r="D84" s="111">
        <f t="shared" si="0"/>
        <v>0.00811111111111111</v>
      </c>
      <c r="E84" s="111">
        <f t="shared" si="1"/>
        <v>70.79450275088496</v>
      </c>
      <c r="F84" s="111">
        <f t="shared" si="2"/>
        <v>87.13224532456105</v>
      </c>
      <c r="G84" s="111">
        <f t="shared" si="3"/>
        <v>39.04720475108583</v>
      </c>
      <c r="H84" s="111">
        <f t="shared" si="4"/>
        <v>3</v>
      </c>
      <c r="I84" s="111">
        <f t="shared" si="6"/>
        <v>43.3384771321253</v>
      </c>
      <c r="J84" s="111"/>
      <c r="K84" s="111"/>
      <c r="L84" s="111"/>
      <c r="M84" s="111"/>
      <c r="N84" s="111"/>
      <c r="O84" s="111"/>
    </row>
    <row r="85" spans="1:15" ht="12.75">
      <c r="A85" s="111">
        <v>49</v>
      </c>
      <c r="B85" s="111">
        <v>0.74</v>
      </c>
      <c r="C85" s="111">
        <f>((((MIN((($F$8*EXP((((B85))/$C$17)*$G$8))*1000/1.12/$I$8*$B$17),$B$20)*$I$8*$H$8)-(MIN((($F$8*EXP((((B85))/$C$17)*$G$8))*1000/1.12/$I$8),$B$20)*$I$8*$H$8))*IF(NVTable_Data_Entry!$D$68=1,0.313,IF(NVTable_Data_Entry!$D$68=2,0.263,0.403))/0.6))</f>
        <v>10.608319642547489</v>
      </c>
      <c r="D85" s="111">
        <f t="shared" si="0"/>
        <v>0.008222222222222223</v>
      </c>
      <c r="E85" s="111">
        <f t="shared" si="1"/>
        <v>72.95132690442992</v>
      </c>
      <c r="F85" s="111">
        <f t="shared" si="2"/>
        <v>87.13224532456105</v>
      </c>
      <c r="G85" s="111">
        <f t="shared" si="3"/>
        <v>33.892395024113384</v>
      </c>
      <c r="H85" s="111">
        <f t="shared" si="4"/>
        <v>2</v>
      </c>
      <c r="I85" s="111">
        <f t="shared" si="6"/>
        <v>28.763107784292856</v>
      </c>
      <c r="J85" s="111"/>
      <c r="K85" s="111"/>
      <c r="L85" s="111"/>
      <c r="M85" s="111"/>
      <c r="N85" s="111"/>
      <c r="O85" s="111"/>
    </row>
    <row r="86" spans="1:15" ht="12.75">
      <c r="A86" s="111">
        <v>50</v>
      </c>
      <c r="B86" s="111">
        <v>0.75</v>
      </c>
      <c r="C86" s="111">
        <f>((((MIN((($F$8*EXP((((B86))/$C$17)*$G$8))*1000/1.12/$I$8*$B$17),$B$20)*$I$8*$H$8)-(MIN((($F$8*EXP((((B86))/$C$17)*$G$8))*1000/1.12/$I$8),$B$20)*$I$8*$H$8))*IF(NVTable_Data_Entry!$D$68=1,0.313,IF(NVTable_Data_Entry!$D$68=2,0.263,0.403))/0.6))</f>
        <v>8.945708691034415</v>
      </c>
      <c r="D86" s="111">
        <f t="shared" si="0"/>
        <v>0.008333333333333333</v>
      </c>
      <c r="E86" s="111">
        <f t="shared" si="1"/>
        <v>75.17386082707496</v>
      </c>
      <c r="F86" s="111">
        <f t="shared" si="2"/>
        <v>87.13224532456105</v>
      </c>
      <c r="G86" s="111">
        <f t="shared" si="3"/>
        <v>28.58053894899174</v>
      </c>
      <c r="H86" s="111">
        <f t="shared" si="4"/>
        <v>2</v>
      </c>
      <c r="I86" s="111">
        <f t="shared" si="6"/>
        <v>28.763107784292856</v>
      </c>
      <c r="J86" s="111"/>
      <c r="K86" s="111"/>
      <c r="L86" s="111"/>
      <c r="M86" s="111"/>
      <c r="N86" s="111"/>
      <c r="O86" s="111"/>
    </row>
    <row r="87" spans="1:15" ht="12.75">
      <c r="A87" s="111">
        <v>51</v>
      </c>
      <c r="B87" s="111">
        <v>0.76</v>
      </c>
      <c r="C87" s="111">
        <f>((((MIN((($F$8*EXP((((B87))/$C$17)*$G$8))*1000/1.12/$I$8*$B$17),$B$20)*$I$8*$H$8)-(MIN((($F$8*EXP((((B87))/$C$17)*$G$8))*1000/1.12/$I$8),$B$20)*$I$8*$H$8))*IF(NVTable_Data_Entry!$D$68=1,0.313,IF(NVTable_Data_Entry!$D$68=2,0.263,0.403))/0.6))</f>
        <v>7.232444661685772</v>
      </c>
      <c r="D87" s="111">
        <f t="shared" si="0"/>
        <v>0.008444444444444445</v>
      </c>
      <c r="E87" s="111">
        <f t="shared" si="1"/>
        <v>77.46410643156203</v>
      </c>
      <c r="F87" s="111">
        <f t="shared" si="2"/>
        <v>87.13224532456105</v>
      </c>
      <c r="G87" s="111">
        <f t="shared" si="3"/>
        <v>23.10685195426764</v>
      </c>
      <c r="H87" s="111">
        <f t="shared" si="4"/>
        <v>2</v>
      </c>
      <c r="I87" s="111">
        <f t="shared" si="6"/>
        <v>28.763107784292856</v>
      </c>
      <c r="J87" s="111"/>
      <c r="K87" s="111"/>
      <c r="L87" s="111"/>
      <c r="M87" s="111"/>
      <c r="N87" s="111"/>
      <c r="O87" s="111"/>
    </row>
    <row r="88" spans="1:15" ht="12.75">
      <c r="A88" s="111">
        <v>52</v>
      </c>
      <c r="B88" s="111">
        <v>0.77</v>
      </c>
      <c r="C88" s="111">
        <f>((((MIN((($F$8*EXP((((B88))/$C$17)*$G$8))*1000/1.12/$I$8*$B$17),$B$20)*$I$8*$H$8)-(MIN((($F$8*EXP((((B88))/$C$17)*$G$8))*1000/1.12/$I$8),$B$20)*$I$8*$H$8))*IF(NVTable_Data_Entry!$D$68=1,0.313,IF(NVTable_Data_Entry!$D$68=2,0.263,0.403))/0.6))</f>
        <v>5.466984358667377</v>
      </c>
      <c r="D88" s="111">
        <f t="shared" si="0"/>
        <v>0.008555555555555556</v>
      </c>
      <c r="E88" s="111">
        <f t="shared" si="1"/>
        <v>79.82412662087373</v>
      </c>
      <c r="F88" s="111">
        <f t="shared" si="2"/>
        <v>87.13224532456105</v>
      </c>
      <c r="G88" s="111">
        <f t="shared" si="3"/>
        <v>17.466403701812705</v>
      </c>
      <c r="H88" s="111">
        <f t="shared" si="4"/>
        <v>1</v>
      </c>
      <c r="I88" s="111">
        <f t="shared" si="6"/>
        <v>14.575369347832464</v>
      </c>
      <c r="J88" s="111"/>
      <c r="K88" s="111"/>
      <c r="L88" s="111"/>
      <c r="M88" s="111"/>
      <c r="N88" s="111"/>
      <c r="O88" s="111"/>
    </row>
    <row r="89" spans="1:15" ht="12.75">
      <c r="A89" s="111">
        <v>53</v>
      </c>
      <c r="B89" s="111">
        <v>0.78</v>
      </c>
      <c r="C89" s="111">
        <f>((((MIN((($F$8*EXP((((B89))/$C$17)*$G$8))*1000/1.12/$I$8*$B$17),$B$20)*$I$8*$H$8)-(MIN((($F$8*EXP((((B89))/$C$17)*$G$8))*1000/1.12/$I$8),$B$20)*$I$8*$H$8))*IF(NVTable_Data_Entry!$D$68=1,0.313,IF(NVTable_Data_Entry!$D$68=2,0.263,0.403))/0.6))</f>
        <v>3.6477375711662394</v>
      </c>
      <c r="D89" s="111">
        <f t="shared" si="0"/>
        <v>0.008666666666666666</v>
      </c>
      <c r="E89" s="111">
        <f t="shared" si="1"/>
        <v>82.25604714636081</v>
      </c>
      <c r="F89" s="111">
        <f t="shared" si="2"/>
        <v>87.13224532456105</v>
      </c>
      <c r="G89" s="111">
        <f t="shared" si="3"/>
        <v>11.65411364589853</v>
      </c>
      <c r="H89" s="111">
        <f t="shared" si="4"/>
        <v>1</v>
      </c>
      <c r="I89" s="111">
        <f t="shared" si="6"/>
        <v>14.575369347832464</v>
      </c>
      <c r="J89" s="111"/>
      <c r="K89" s="111"/>
      <c r="L89" s="111"/>
      <c r="M89" s="111"/>
      <c r="N89" s="111"/>
      <c r="O89" s="111"/>
    </row>
    <row r="90" spans="1:15" ht="12.75">
      <c r="A90" s="111">
        <v>54</v>
      </c>
      <c r="B90" s="111">
        <v>0.79</v>
      </c>
      <c r="C90" s="111">
        <f>((((MIN((($F$8*EXP((((B90))/$C$17)*$G$8))*1000/1.12/$I$8*$B$17),$B$20)*$I$8*$H$8)-(MIN((($F$8*EXP((((B90))/$C$17)*$G$8))*1000/1.12/$I$8),$B$20)*$I$8*$H$8))*IF(NVTable_Data_Entry!$D$68=1,0.313,IF(NVTable_Data_Entry!$D$68=2,0.263,0.403))/0.6))</f>
        <v>1.773065641032898</v>
      </c>
      <c r="D90" s="111">
        <f t="shared" si="0"/>
        <v>0.008777777777777778</v>
      </c>
      <c r="E90" s="111">
        <f t="shared" si="1"/>
        <v>84.76205852247982</v>
      </c>
      <c r="F90" s="111">
        <f t="shared" si="2"/>
        <v>87.13224532456105</v>
      </c>
      <c r="G90" s="111">
        <f t="shared" si="3"/>
        <v>5.664746456974115</v>
      </c>
      <c r="H90" s="111">
        <f t="shared" si="4"/>
        <v>0</v>
      </c>
      <c r="I90" s="111">
        <f t="shared" si="6"/>
        <v>0</v>
      </c>
      <c r="J90" s="111"/>
      <c r="K90" s="111"/>
      <c r="L90" s="111"/>
      <c r="M90" s="111"/>
      <c r="N90" s="111"/>
      <c r="O90" s="111"/>
    </row>
    <row r="91" spans="1:15" ht="12.75">
      <c r="A91" s="111">
        <v>55</v>
      </c>
      <c r="B91" s="111">
        <v>0.8</v>
      </c>
      <c r="C91" s="111">
        <f>((((MIN((($F$8*EXP((((B91))/$C$17)*$G$8))*1000/1.12/$I$8*$B$17),$B$20)*$I$8*$H$8)-(MIN((($F$8*EXP((((B91))/$C$17)*$G$8))*1000/1.12/$I$8),$B$20)*$I$8*$H$8))*IF(NVTable_Data_Entry!$D$68=1,0.313,IF(NVTable_Data_Entry!$D$68=2,0.263,0.403))/0.6))</f>
        <v>0</v>
      </c>
      <c r="D91" s="111">
        <f t="shared" si="0"/>
        <v>0.008888888888888889</v>
      </c>
      <c r="E91" s="111">
        <f t="shared" si="1"/>
        <v>87.13224532456105</v>
      </c>
      <c r="F91" s="111">
        <f t="shared" si="2"/>
        <v>87.13224532456105</v>
      </c>
      <c r="G91" s="111">
        <f t="shared" si="3"/>
        <v>0</v>
      </c>
      <c r="H91" s="111">
        <f t="shared" si="4"/>
        <v>0</v>
      </c>
      <c r="I91" s="111">
        <f t="shared" si="6"/>
        <v>0</v>
      </c>
      <c r="J91" s="111"/>
      <c r="K91" s="111"/>
      <c r="L91" s="111"/>
      <c r="M91" s="111"/>
      <c r="N91" s="111"/>
      <c r="O91" s="111"/>
    </row>
    <row r="92" spans="1:19" ht="12.75">
      <c r="A92" s="111">
        <v>56</v>
      </c>
      <c r="B92" s="111">
        <v>0.81</v>
      </c>
      <c r="C92" s="111">
        <f>((((MIN((($F$8*EXP((((B92))/$C$17)*$G$8))*1000/1.12/$I$8*$B$17),$B$20)*$I$8*$H$8)-(MIN((($F$8*EXP((((B92))/$C$17)*$G$8))*1000/1.12/$I$8),$B$20)*$I$8*$H$8))*IF(NVTable_Data_Entry!$D$68=1,0.313,IF(NVTable_Data_Entry!$D$68=2,0.263,0.403))/0.6))</f>
        <v>0</v>
      </c>
      <c r="D92" s="111">
        <f t="shared" si="0"/>
        <v>0.009000000000000001</v>
      </c>
      <c r="E92" s="111">
        <f t="shared" si="1"/>
        <v>87.13224532456105</v>
      </c>
      <c r="F92" s="111">
        <f t="shared" si="2"/>
        <v>87.13224532456105</v>
      </c>
      <c r="G92" s="111">
        <f t="shared" si="3"/>
        <v>0</v>
      </c>
      <c r="H92" s="111">
        <f t="shared" si="4"/>
        <v>0</v>
      </c>
      <c r="I92" s="111">
        <f t="shared" si="6"/>
        <v>0</v>
      </c>
      <c r="J92" s="111"/>
      <c r="K92" s="111"/>
      <c r="L92" s="111"/>
      <c r="M92" s="111"/>
      <c r="N92" s="111"/>
      <c r="O92" s="111"/>
      <c r="S92" s="124"/>
    </row>
    <row r="93" spans="1:19" ht="12.75">
      <c r="A93" s="111">
        <v>57</v>
      </c>
      <c r="B93" s="111">
        <v>0.820000000000001</v>
      </c>
      <c r="C93" s="111">
        <f>((((MIN((($F$8*EXP((((B93))/$C$17)*$G$8))*1000/1.12/$I$8*$B$17),$B$20)*$I$8*$H$8)-(MIN((($F$8*EXP((((B93))/$C$17)*$G$8))*1000/1.12/$I$8),$B$20)*$I$8*$H$8))*IF(NVTable_Data_Entry!$D$68=1,0.313,IF(NVTable_Data_Entry!$D$68=2,0.263,0.403))/0.6))</f>
        <v>0</v>
      </c>
      <c r="D93" s="111">
        <f t="shared" si="0"/>
        <v>0.009111111111111122</v>
      </c>
      <c r="E93" s="111">
        <f t="shared" si="1"/>
        <v>87.13224532456105</v>
      </c>
      <c r="F93" s="111">
        <f t="shared" si="2"/>
        <v>87.13224532456105</v>
      </c>
      <c r="G93" s="111">
        <f t="shared" si="3"/>
        <v>0</v>
      </c>
      <c r="H93" s="111">
        <f t="shared" si="4"/>
        <v>0</v>
      </c>
      <c r="I93" s="111">
        <f t="shared" si="6"/>
        <v>0</v>
      </c>
      <c r="J93" s="111"/>
      <c r="K93" s="111"/>
      <c r="L93" s="111"/>
      <c r="M93" s="111"/>
      <c r="N93" s="111"/>
      <c r="O93" s="111"/>
      <c r="S93" s="124"/>
    </row>
    <row r="94" spans="1:19" ht="12.75">
      <c r="A94" s="111">
        <v>58</v>
      </c>
      <c r="B94" s="111">
        <v>0.830000000000001</v>
      </c>
      <c r="C94" s="111">
        <f>((((MIN((($F$8*EXP((((B94))/$C$17)*$G$8))*1000/1.12/$I$8*$B$17),$B$20)*$I$8*$H$8)-(MIN((($F$8*EXP((((B94))/$C$17)*$G$8))*1000/1.12/$I$8),$B$20)*$I$8*$H$8))*IF(NVTable_Data_Entry!$D$68=1,0.313,IF(NVTable_Data_Entry!$D$68=2,0.263,0.403))/0.6))</f>
        <v>0</v>
      </c>
      <c r="D94" s="111">
        <f t="shared" si="0"/>
        <v>0.009222222222222232</v>
      </c>
      <c r="E94" s="111">
        <f t="shared" si="1"/>
        <v>87.13224532456105</v>
      </c>
      <c r="F94" s="111">
        <f t="shared" si="2"/>
        <v>87.13224532456105</v>
      </c>
      <c r="G94" s="111">
        <f t="shared" si="3"/>
        <v>0</v>
      </c>
      <c r="H94" s="111">
        <f t="shared" si="4"/>
        <v>0</v>
      </c>
      <c r="I94" s="111">
        <f t="shared" si="6"/>
        <v>0</v>
      </c>
      <c r="J94" s="111"/>
      <c r="K94" s="111"/>
      <c r="L94" s="111"/>
      <c r="M94" s="111"/>
      <c r="N94" s="111"/>
      <c r="O94" s="111"/>
      <c r="S94" s="124"/>
    </row>
    <row r="95" spans="1:19" ht="12.75">
      <c r="A95" s="111">
        <v>59</v>
      </c>
      <c r="B95" s="111">
        <v>0.840000000000001</v>
      </c>
      <c r="C95" s="111">
        <f>((((MIN((($F$8*EXP((((B95))/$C$17)*$G$8))*1000/1.12/$I$8*$B$17),$B$20)*$I$8*$H$8)-(MIN((($F$8*EXP((((B95))/$C$17)*$G$8))*1000/1.12/$I$8),$B$20)*$I$8*$H$8))*IF(NVTable_Data_Entry!$D$68=1,0.313,IF(NVTable_Data_Entry!$D$68=2,0.263,0.403))/0.6))</f>
        <v>0</v>
      </c>
      <c r="D95" s="111">
        <f t="shared" si="0"/>
        <v>0.009333333333333345</v>
      </c>
      <c r="E95" s="111">
        <f t="shared" si="1"/>
        <v>87.13224532456105</v>
      </c>
      <c r="F95" s="111">
        <f>MIN(E95*$B$17,$B$20)</f>
        <v>87.13224532456105</v>
      </c>
      <c r="G95" s="111">
        <f t="shared" si="3"/>
        <v>0</v>
      </c>
      <c r="H95" s="111">
        <f t="shared" si="4"/>
        <v>0</v>
      </c>
      <c r="I95" s="111">
        <f t="shared" si="6"/>
        <v>0</v>
      </c>
      <c r="J95" s="111"/>
      <c r="K95" s="111"/>
      <c r="L95" s="111"/>
      <c r="M95" s="111"/>
      <c r="N95" s="111"/>
      <c r="O95" s="111"/>
      <c r="S95" s="124"/>
    </row>
    <row r="96" spans="1:19" ht="12.75">
      <c r="A96" s="111">
        <v>60</v>
      </c>
      <c r="B96" s="111">
        <v>0.850000000000001</v>
      </c>
      <c r="C96" s="111">
        <f>((((MIN((($F$8*EXP((((B96))/$C$17)*$G$8))*1000/1.12/$I$8*$B$17),$B$20)*$I$8*$H$8)-(MIN((($F$8*EXP((((B96))/$C$17)*$G$8))*1000/1.12/$I$8),$B$20)*$I$8*$H$8))*IF(NVTable_Data_Entry!$D$68=1,0.313,IF(NVTable_Data_Entry!$D$68=2,0.263,0.403))/0.6))</f>
        <v>0</v>
      </c>
      <c r="D96" s="111">
        <f t="shared" si="0"/>
        <v>0.009444444444444455</v>
      </c>
      <c r="E96" s="111">
        <f t="shared" si="1"/>
        <v>87.13224532456105</v>
      </c>
      <c r="F96" s="111">
        <f t="shared" si="2"/>
        <v>87.13224532456105</v>
      </c>
      <c r="G96" s="111">
        <f t="shared" si="3"/>
        <v>0</v>
      </c>
      <c r="H96" s="111">
        <f t="shared" si="4"/>
        <v>0</v>
      </c>
      <c r="I96" s="111">
        <f t="shared" si="6"/>
        <v>0</v>
      </c>
      <c r="J96" s="111"/>
      <c r="K96" s="111"/>
      <c r="L96" s="111"/>
      <c r="M96" s="111"/>
      <c r="N96" s="111"/>
      <c r="O96" s="111"/>
      <c r="S96" s="124"/>
    </row>
    <row r="97" spans="1:19" ht="12.75">
      <c r="A97" s="111">
        <v>61</v>
      </c>
      <c r="B97" s="111">
        <v>0.860000000000001</v>
      </c>
      <c r="C97" s="111">
        <f>((((MIN((($F$8*EXP((((B97))/$C$17)*$G$8))*1000/1.12/$I$8*$B$17),$B$20)*$I$8*$H$8)-(MIN((($F$8*EXP((((B97))/$C$17)*$G$8))*1000/1.12/$I$8),$B$20)*$I$8*$H$8))*IF(NVTable_Data_Entry!$D$68=1,0.313,IF(NVTable_Data_Entry!$D$68=2,0.263,0.403))/0.6))</f>
        <v>0</v>
      </c>
      <c r="D97" s="111">
        <f t="shared" si="0"/>
        <v>0.009555555555555567</v>
      </c>
      <c r="E97" s="111">
        <f t="shared" si="1"/>
        <v>87.13224532456105</v>
      </c>
      <c r="F97" s="111">
        <f t="shared" si="2"/>
        <v>87.13224532456105</v>
      </c>
      <c r="G97" s="111">
        <f t="shared" si="3"/>
        <v>0</v>
      </c>
      <c r="H97" s="111">
        <f t="shared" si="4"/>
        <v>0</v>
      </c>
      <c r="I97" s="111">
        <f t="shared" si="6"/>
        <v>0</v>
      </c>
      <c r="J97" s="111"/>
      <c r="K97" s="111"/>
      <c r="L97" s="111"/>
      <c r="M97" s="111"/>
      <c r="N97" s="111"/>
      <c r="O97" s="111"/>
      <c r="S97" s="124"/>
    </row>
    <row r="98" spans="1:15" ht="12.75">
      <c r="A98" s="111">
        <v>62</v>
      </c>
      <c r="B98" s="111">
        <v>0.870000000000001</v>
      </c>
      <c r="C98" s="111">
        <f>((((MIN((($F$8*EXP((((B98))/$C$17)*$G$8))*1000/1.12/$I$8*$B$17),$B$20)*$I$8*$H$8)-(MIN((($F$8*EXP((((B98))/$C$17)*$G$8))*1000/1.12/$I$8),$B$20)*$I$8*$H$8))*IF(NVTable_Data_Entry!$D$68=1,0.313,IF(NVTable_Data_Entry!$D$68=2,0.263,0.403))/0.6))</f>
        <v>0</v>
      </c>
      <c r="D98" s="111">
        <f t="shared" si="0"/>
        <v>0.009666666666666678</v>
      </c>
      <c r="E98" s="111">
        <f t="shared" si="1"/>
        <v>87.13224532456105</v>
      </c>
      <c r="F98" s="111">
        <f t="shared" si="2"/>
        <v>87.13224532456105</v>
      </c>
      <c r="G98" s="111">
        <f t="shared" si="3"/>
        <v>0</v>
      </c>
      <c r="H98" s="111">
        <f t="shared" si="4"/>
        <v>0</v>
      </c>
      <c r="I98" s="111">
        <f t="shared" si="6"/>
        <v>0</v>
      </c>
      <c r="J98" s="111"/>
      <c r="K98" s="111"/>
      <c r="L98" s="111"/>
      <c r="M98" s="111"/>
      <c r="N98" s="111"/>
      <c r="O98" s="111"/>
    </row>
    <row r="99" spans="1:15" ht="13.5" thickBot="1">
      <c r="A99" s="120">
        <v>63</v>
      </c>
      <c r="B99" s="120">
        <v>0.880000000000001</v>
      </c>
      <c r="C99" s="120">
        <f>((((MIN((($F$8*EXP((((B99))/$C$17)*$G$8))*1000/1.12/$I$8*$B$17),$B$20)*$I$8*$H$8)-(MIN((($F$8*EXP((((B99))/$C$17)*$G$8))*1000/1.12/$I$8),$B$20)*$I$8*$H$8))*IF(NVTable_Data_Entry!$D$68=1,0.313,IF(NVTable_Data_Entry!$D$68=2,0.263,0.403))/0.6))</f>
        <v>0</v>
      </c>
      <c r="D99" s="120">
        <f t="shared" si="0"/>
        <v>0.00977777777777779</v>
      </c>
      <c r="E99" s="120">
        <f>MIN(((($F$8*EXP(D99*$G$8))*1000)/1.12/$I$8),$B$20)</f>
        <v>87.13224532456105</v>
      </c>
      <c r="F99" s="111">
        <f t="shared" si="2"/>
        <v>87.13224532456105</v>
      </c>
      <c r="G99" s="120">
        <f t="shared" si="3"/>
        <v>0</v>
      </c>
      <c r="H99" s="111">
        <f t="shared" si="4"/>
        <v>0</v>
      </c>
      <c r="I99" s="120">
        <f t="shared" si="6"/>
        <v>0</v>
      </c>
      <c r="J99" s="111"/>
      <c r="K99" s="111"/>
      <c r="L99" s="111"/>
      <c r="M99" s="111"/>
      <c r="N99" s="111"/>
      <c r="O99" s="111"/>
    </row>
    <row r="100" spans="2:9" ht="12.75">
      <c r="B100" s="138"/>
      <c r="D100" s="138"/>
      <c r="H100" s="121"/>
      <c r="I100" s="121"/>
    </row>
    <row r="101" spans="8:9" ht="12.75">
      <c r="H101" s="121"/>
      <c r="I101" s="121"/>
    </row>
    <row r="102" spans="1:9" ht="12.75">
      <c r="A102" s="121" t="s">
        <v>43</v>
      </c>
      <c r="B102" s="121"/>
      <c r="C102" s="121"/>
      <c r="H102" s="121"/>
      <c r="I102" s="121"/>
    </row>
    <row r="103" spans="1:9" ht="12.75">
      <c r="A103" s="122" t="s">
        <v>33</v>
      </c>
      <c r="B103" s="122" t="s">
        <v>45</v>
      </c>
      <c r="C103" s="122" t="s">
        <v>44</v>
      </c>
      <c r="D103" s="123" t="s">
        <v>46</v>
      </c>
      <c r="H103" s="121"/>
      <c r="I103" s="121"/>
    </row>
    <row r="104" spans="1:9" ht="12.75">
      <c r="A104" s="121">
        <v>1</v>
      </c>
      <c r="B104" s="31">
        <v>0.5656</v>
      </c>
      <c r="C104" s="31" t="s">
        <v>12</v>
      </c>
      <c r="D104" s="88">
        <v>2</v>
      </c>
      <c r="H104" s="121"/>
      <c r="I104" s="121"/>
    </row>
    <row r="105" spans="1:9" ht="12.75">
      <c r="A105" s="121">
        <v>2</v>
      </c>
      <c r="B105" s="31">
        <v>0.701</v>
      </c>
      <c r="C105" s="31" t="s">
        <v>51</v>
      </c>
      <c r="H105" s="121"/>
      <c r="I105" s="121"/>
    </row>
    <row r="106" spans="8:9" ht="12.75">
      <c r="H106" s="121"/>
      <c r="I106" s="121"/>
    </row>
    <row r="107" spans="8:9" ht="12.75">
      <c r="H107" s="121"/>
      <c r="I107" s="121"/>
    </row>
    <row r="108" spans="8:9" ht="12.75">
      <c r="H108" s="121"/>
      <c r="I108" s="121"/>
    </row>
    <row r="109" spans="8:9" ht="12.75">
      <c r="H109" s="121"/>
      <c r="I109" s="121"/>
    </row>
    <row r="110" spans="8:9" ht="12.75">
      <c r="H110" s="121"/>
      <c r="I110" s="121"/>
    </row>
    <row r="111" spans="8:9" ht="12.75">
      <c r="H111" s="121"/>
      <c r="I111" s="121"/>
    </row>
    <row r="112" spans="8:9" ht="12.75">
      <c r="H112" s="121"/>
      <c r="I112" s="121"/>
    </row>
    <row r="113" spans="8:9" ht="12.75">
      <c r="H113" s="121"/>
      <c r="I113" s="121"/>
    </row>
    <row r="114" spans="8:9" ht="12.75">
      <c r="H114" s="88"/>
      <c r="I114" s="88"/>
    </row>
    <row r="115" spans="8:9" ht="12.75">
      <c r="H115" s="88"/>
      <c r="I115" s="88"/>
    </row>
    <row r="116" spans="8:9" ht="12.75">
      <c r="H116" s="88"/>
      <c r="I116" s="88"/>
    </row>
    <row r="117" spans="8:9" ht="12.75">
      <c r="H117" s="88"/>
      <c r="I117" s="88"/>
    </row>
    <row r="118" spans="8:9" ht="12.75">
      <c r="H118" s="88"/>
      <c r="I118" s="88"/>
    </row>
    <row r="119" spans="8:9" ht="12.75">
      <c r="H119" s="88"/>
      <c r="I119" s="88"/>
    </row>
    <row r="120" spans="8:9" ht="12.75">
      <c r="H120" s="88"/>
      <c r="I120" s="88"/>
    </row>
    <row r="121" spans="8:9" ht="12.75">
      <c r="H121" s="88"/>
      <c r="I121" s="88"/>
    </row>
    <row r="122" spans="8:9" ht="12.75">
      <c r="H122" s="88"/>
      <c r="I122" s="88"/>
    </row>
    <row r="123" spans="8:9" ht="12.75">
      <c r="H123" s="88"/>
      <c r="I123" s="88"/>
    </row>
    <row r="124" spans="8:9" ht="12.75">
      <c r="H124" s="88"/>
      <c r="I124" s="88"/>
    </row>
    <row r="125" spans="8:9" ht="12.75">
      <c r="H125" s="88"/>
      <c r="I125" s="88"/>
    </row>
    <row r="126" spans="8:9" ht="12.75">
      <c r="H126" s="88"/>
      <c r="I126" s="88"/>
    </row>
    <row r="127" spans="8:9" ht="12.75">
      <c r="H127" s="88"/>
      <c r="I127" s="88"/>
    </row>
    <row r="128" spans="8:9" ht="12.75">
      <c r="H128" s="88"/>
      <c r="I128" s="88"/>
    </row>
    <row r="129" spans="8:9" ht="12.75">
      <c r="H129" s="88"/>
      <c r="I129" s="88"/>
    </row>
    <row r="130" spans="8:9" ht="12.75">
      <c r="H130" s="88"/>
      <c r="I130" s="88"/>
    </row>
    <row r="131" spans="8:9" ht="12.75">
      <c r="H131" s="88"/>
      <c r="I131" s="88"/>
    </row>
    <row r="132" spans="8:9" ht="12.75">
      <c r="H132" s="88"/>
      <c r="I132" s="88"/>
    </row>
    <row r="133" spans="8:9" ht="12.75">
      <c r="H133" s="88"/>
      <c r="I133" s="88"/>
    </row>
    <row r="134" spans="8:9" ht="12.75">
      <c r="H134" s="88"/>
      <c r="I134" s="88"/>
    </row>
    <row r="135" spans="8:9" ht="12.75">
      <c r="H135" s="88"/>
      <c r="I135" s="88"/>
    </row>
    <row r="136" spans="8:9" ht="12.75">
      <c r="H136" s="88"/>
      <c r="I136" s="88"/>
    </row>
    <row r="137" spans="8:9" ht="12.75">
      <c r="H137" s="88"/>
      <c r="I137" s="88"/>
    </row>
    <row r="138" spans="8:9" ht="12.75">
      <c r="H138" s="88"/>
      <c r="I138" s="88"/>
    </row>
    <row r="139" spans="8:9" ht="12.75">
      <c r="H139" s="88"/>
      <c r="I139" s="88"/>
    </row>
    <row r="140" spans="8:9" ht="12.75">
      <c r="H140" s="88"/>
      <c r="I140" s="88"/>
    </row>
    <row r="141" spans="8:9" ht="12.75">
      <c r="H141" s="88"/>
      <c r="I141" s="88"/>
    </row>
    <row r="142" spans="8:9" ht="12.75">
      <c r="H142" s="88"/>
      <c r="I142" s="88"/>
    </row>
    <row r="143" spans="8:9" ht="12.75">
      <c r="H143" s="88"/>
      <c r="I143" s="88"/>
    </row>
    <row r="144" spans="8:9" ht="12.75">
      <c r="H144" s="88"/>
      <c r="I144" s="88"/>
    </row>
    <row r="145" spans="8:9" ht="12.75">
      <c r="H145" s="88"/>
      <c r="I145" s="88"/>
    </row>
    <row r="146" spans="8:9" ht="12.75">
      <c r="H146" s="88"/>
      <c r="I146" s="88"/>
    </row>
    <row r="147" spans="8:9" ht="12.75">
      <c r="H147" s="88"/>
      <c r="I147" s="88"/>
    </row>
    <row r="148" spans="8:9" ht="12.75">
      <c r="H148" s="88"/>
      <c r="I148" s="88"/>
    </row>
    <row r="149" spans="8:9" ht="12.75">
      <c r="H149" s="88"/>
      <c r="I149" s="88"/>
    </row>
    <row r="150" spans="8:9" ht="12.75">
      <c r="H150" s="88"/>
      <c r="I150" s="88"/>
    </row>
    <row r="151" spans="8:9" ht="12.75">
      <c r="H151" s="88"/>
      <c r="I151" s="88"/>
    </row>
    <row r="152" spans="8:9" ht="12.75">
      <c r="H152" s="88"/>
      <c r="I152" s="88"/>
    </row>
    <row r="153" spans="8:9" ht="12.75">
      <c r="H153" s="88"/>
      <c r="I153" s="88"/>
    </row>
    <row r="154" spans="8:9" ht="12.75">
      <c r="H154" s="88"/>
      <c r="I154" s="88"/>
    </row>
    <row r="155" spans="8:9" ht="12.75">
      <c r="H155" s="88"/>
      <c r="I155" s="88"/>
    </row>
    <row r="156" spans="8:9" ht="12.75">
      <c r="H156" s="88"/>
      <c r="I156" s="88"/>
    </row>
    <row r="157" spans="8:9" ht="12.75">
      <c r="H157" s="88"/>
      <c r="I157" s="88"/>
    </row>
    <row r="158" spans="8:9" ht="12.75">
      <c r="H158" s="88"/>
      <c r="I158" s="88"/>
    </row>
    <row r="159" spans="8:9" ht="12.75">
      <c r="H159" s="88"/>
      <c r="I159" s="88"/>
    </row>
    <row r="160" spans="8:9" ht="12.75">
      <c r="H160" s="88"/>
      <c r="I160" s="88"/>
    </row>
    <row r="161" spans="8:9" ht="12.75">
      <c r="H161" s="88"/>
      <c r="I161" s="88"/>
    </row>
    <row r="162" spans="8:9" ht="12.75">
      <c r="H162" s="88"/>
      <c r="I162" s="88"/>
    </row>
    <row r="163" spans="8:9" ht="12.75">
      <c r="H163" s="88"/>
      <c r="I163" s="88"/>
    </row>
    <row r="164" spans="8:9" ht="12.75">
      <c r="H164" s="88"/>
      <c r="I164" s="88"/>
    </row>
    <row r="165" spans="8:9" ht="12.75">
      <c r="H165" s="88"/>
      <c r="I165" s="88"/>
    </row>
    <row r="166" spans="8:9" ht="12.75">
      <c r="H166" s="88"/>
      <c r="I166" s="88"/>
    </row>
    <row r="167" spans="8:9" ht="12.75">
      <c r="H167" s="88"/>
      <c r="I167" s="88"/>
    </row>
    <row r="168" spans="8:9" ht="12.75">
      <c r="H168" s="88"/>
      <c r="I168" s="88"/>
    </row>
    <row r="169" spans="8:9" ht="12.75">
      <c r="H169" s="88"/>
      <c r="I169" s="88"/>
    </row>
    <row r="170" spans="8:9" ht="12.75">
      <c r="H170" s="88"/>
      <c r="I170" s="88"/>
    </row>
    <row r="171" spans="8:9" ht="12.75">
      <c r="H171" s="88"/>
      <c r="I171" s="88"/>
    </row>
    <row r="172" spans="8:9" ht="12.75">
      <c r="H172" s="88"/>
      <c r="I172" s="88"/>
    </row>
    <row r="173" spans="8:9" ht="12.75">
      <c r="H173" s="88"/>
      <c r="I173" s="88"/>
    </row>
    <row r="174" spans="8:9" ht="12.75">
      <c r="H174" s="88"/>
      <c r="I174" s="88"/>
    </row>
    <row r="175" spans="8:9" ht="12.75">
      <c r="H175" s="88"/>
      <c r="I175" s="88"/>
    </row>
    <row r="176" spans="8:9" ht="12.75">
      <c r="H176" s="88"/>
      <c r="I176" s="88"/>
    </row>
    <row r="177" spans="8:9" ht="12.75">
      <c r="H177" s="88"/>
      <c r="I177" s="88"/>
    </row>
    <row r="178" spans="8:9" ht="12.75">
      <c r="H178" s="88"/>
      <c r="I178" s="88"/>
    </row>
    <row r="179" spans="8:9" ht="12.75">
      <c r="H179" s="88"/>
      <c r="I179" s="88"/>
    </row>
    <row r="180" spans="8:9" ht="12.75">
      <c r="H180" s="88"/>
      <c r="I180" s="88"/>
    </row>
    <row r="181" spans="8:9" ht="12.75">
      <c r="H181" s="88"/>
      <c r="I181" s="88"/>
    </row>
    <row r="182" spans="8:9" ht="12.75">
      <c r="H182" s="88"/>
      <c r="I182" s="88"/>
    </row>
    <row r="183" spans="8:9" ht="12.75">
      <c r="H183" s="88"/>
      <c r="I183" s="88"/>
    </row>
    <row r="184" spans="8:9" ht="12.75">
      <c r="H184" s="88"/>
      <c r="I184" s="88"/>
    </row>
    <row r="185" spans="8:9" ht="12.75">
      <c r="H185" s="88"/>
      <c r="I185" s="88"/>
    </row>
    <row r="186" spans="8:9" ht="12.75">
      <c r="H186" s="88"/>
      <c r="I186" s="88"/>
    </row>
    <row r="187" spans="8:9" ht="12.75">
      <c r="H187" s="88"/>
      <c r="I187" s="88"/>
    </row>
    <row r="188" spans="8:9" ht="12.75">
      <c r="H188" s="88"/>
      <c r="I188" s="88"/>
    </row>
    <row r="189" spans="8:9" ht="12.75">
      <c r="H189" s="88"/>
      <c r="I189" s="88"/>
    </row>
    <row r="190" spans="8:9" ht="12.75">
      <c r="H190" s="88"/>
      <c r="I190" s="88"/>
    </row>
    <row r="191" spans="8:9" ht="12.75">
      <c r="H191" s="88"/>
      <c r="I191" s="88"/>
    </row>
    <row r="192" spans="8:9" ht="12.75">
      <c r="H192" s="88"/>
      <c r="I192" s="88"/>
    </row>
    <row r="193" spans="8:9" ht="12.75">
      <c r="H193" s="88"/>
      <c r="I193" s="88"/>
    </row>
    <row r="194" spans="8:9" ht="12.75">
      <c r="H194" s="88"/>
      <c r="I194" s="88"/>
    </row>
    <row r="195" spans="8:9" ht="12.75">
      <c r="H195" s="88"/>
      <c r="I195" s="88"/>
    </row>
    <row r="196" spans="8:9" ht="12.75">
      <c r="H196" s="88"/>
      <c r="I196" s="88"/>
    </row>
    <row r="197" spans="8:9" ht="12.75">
      <c r="H197" s="88"/>
      <c r="I197" s="88"/>
    </row>
    <row r="198" spans="8:9" ht="12.75">
      <c r="H198" s="88"/>
      <c r="I198" s="88"/>
    </row>
    <row r="199" spans="8:9" ht="12.75">
      <c r="H199" s="88"/>
      <c r="I199" s="88"/>
    </row>
    <row r="200" spans="8:9" ht="12.75">
      <c r="H200" s="88"/>
      <c r="I200" s="88"/>
    </row>
    <row r="201" spans="8:9" ht="12.75">
      <c r="H201" s="88"/>
      <c r="I201" s="88"/>
    </row>
    <row r="202" spans="8:9" ht="12.75">
      <c r="H202" s="88"/>
      <c r="I202" s="88"/>
    </row>
    <row r="203" spans="8:9" ht="12.75">
      <c r="H203" s="88"/>
      <c r="I203" s="88"/>
    </row>
    <row r="204" spans="8:9" ht="12.75">
      <c r="H204" s="88"/>
      <c r="I204" s="88"/>
    </row>
    <row r="205" spans="8:9" ht="12.75">
      <c r="H205" s="88"/>
      <c r="I205" s="88"/>
    </row>
    <row r="206" spans="8:9" ht="12.75">
      <c r="H206" s="88"/>
      <c r="I206" s="88"/>
    </row>
    <row r="207" spans="8:9" ht="12.75">
      <c r="H207" s="88"/>
      <c r="I207" s="88"/>
    </row>
    <row r="208" spans="8:9" ht="12.75">
      <c r="H208" s="88"/>
      <c r="I208" s="88"/>
    </row>
    <row r="209" spans="8:9" ht="12.75">
      <c r="H209" s="88"/>
      <c r="I209" s="88"/>
    </row>
    <row r="210" spans="8:9" ht="12.75">
      <c r="H210" s="88"/>
      <c r="I210" s="88"/>
    </row>
    <row r="211" spans="8:9" ht="12.75">
      <c r="H211" s="88"/>
      <c r="I211" s="88"/>
    </row>
    <row r="212" spans="8:9" ht="12.75">
      <c r="H212" s="88"/>
      <c r="I212" s="88"/>
    </row>
    <row r="213" spans="8:9" ht="12.75">
      <c r="H213" s="88"/>
      <c r="I213" s="88"/>
    </row>
    <row r="214" spans="8:9" ht="12.75">
      <c r="H214" s="88"/>
      <c r="I214" s="88"/>
    </row>
    <row r="215" spans="8:9" ht="12.75">
      <c r="H215" s="88"/>
      <c r="I215" s="88"/>
    </row>
    <row r="216" spans="8:9" ht="12.75">
      <c r="H216" s="88"/>
      <c r="I216" s="88"/>
    </row>
    <row r="217" spans="8:9" ht="12.75">
      <c r="H217" s="88"/>
      <c r="I217" s="88"/>
    </row>
    <row r="218" spans="8:9" ht="12.75">
      <c r="H218" s="88"/>
      <c r="I218" s="88"/>
    </row>
    <row r="219" spans="8:9" ht="12.75">
      <c r="H219" s="88"/>
      <c r="I219" s="88"/>
    </row>
    <row r="220" spans="8:9" ht="12.75">
      <c r="H220" s="88"/>
      <c r="I220" s="88"/>
    </row>
    <row r="221" spans="8:9" ht="12.75">
      <c r="H221" s="88"/>
      <c r="I221" s="88"/>
    </row>
    <row r="222" spans="8:9" ht="12.75">
      <c r="H222" s="88"/>
      <c r="I222" s="88"/>
    </row>
    <row r="223" spans="8:9" ht="12.75">
      <c r="H223" s="88"/>
      <c r="I223" s="88"/>
    </row>
    <row r="224" spans="8:9" ht="12.75">
      <c r="H224" s="88"/>
      <c r="I224" s="88"/>
    </row>
    <row r="225" spans="8:9" ht="12.75">
      <c r="H225" s="88"/>
      <c r="I225" s="88"/>
    </row>
    <row r="226" spans="8:9" ht="12.75">
      <c r="H226" s="88"/>
      <c r="I226" s="88"/>
    </row>
    <row r="227" spans="8:9" ht="12.75">
      <c r="H227" s="88"/>
      <c r="I227" s="88"/>
    </row>
    <row r="228" spans="8:9" ht="12.75">
      <c r="H228" s="88"/>
      <c r="I228" s="88"/>
    </row>
    <row r="229" spans="8:9" ht="12.75">
      <c r="H229" s="88"/>
      <c r="I229" s="88"/>
    </row>
    <row r="230" spans="8:9" ht="12.75">
      <c r="H230" s="88"/>
      <c r="I230" s="88"/>
    </row>
    <row r="231" spans="8:9" ht="12.75">
      <c r="H231" s="88"/>
      <c r="I231" s="88"/>
    </row>
    <row r="232" spans="8:9" ht="12.75">
      <c r="H232" s="88"/>
      <c r="I232" s="88"/>
    </row>
    <row r="233" spans="8:9" ht="12.75">
      <c r="H233" s="88"/>
      <c r="I233" s="88"/>
    </row>
    <row r="234" spans="8:9" ht="12.75">
      <c r="H234" s="88"/>
      <c r="I234" s="88"/>
    </row>
    <row r="235" spans="8:9" ht="12.75">
      <c r="H235" s="88"/>
      <c r="I235" s="88"/>
    </row>
    <row r="236" spans="8:9" ht="12.75">
      <c r="H236" s="88"/>
      <c r="I236" s="88"/>
    </row>
    <row r="237" spans="8:9" ht="12.75">
      <c r="H237" s="88"/>
      <c r="I237" s="88"/>
    </row>
    <row r="238" spans="8:9" ht="12.75">
      <c r="H238" s="88"/>
      <c r="I238" s="88"/>
    </row>
    <row r="239" spans="8:9" ht="12.75">
      <c r="H239" s="88"/>
      <c r="I239" s="88"/>
    </row>
    <row r="240" spans="8:9" ht="12.75">
      <c r="H240" s="88"/>
      <c r="I240" s="88"/>
    </row>
    <row r="241" spans="8:9" ht="12.75">
      <c r="H241" s="88"/>
      <c r="I241" s="88"/>
    </row>
    <row r="242" spans="8:9" ht="12.75">
      <c r="H242" s="88"/>
      <c r="I242" s="88"/>
    </row>
    <row r="243" spans="8:9" ht="12.75">
      <c r="H243" s="88"/>
      <c r="I243" s="88"/>
    </row>
    <row r="244" spans="8:9" ht="12.75">
      <c r="H244" s="88"/>
      <c r="I244" s="88"/>
    </row>
    <row r="245" spans="8:9" ht="12.75">
      <c r="H245" s="88"/>
      <c r="I245" s="88"/>
    </row>
    <row r="246" spans="8:9" ht="12.75">
      <c r="H246" s="88"/>
      <c r="I246" s="88"/>
    </row>
    <row r="247" spans="8:9" ht="12.75">
      <c r="H247" s="88"/>
      <c r="I247" s="88"/>
    </row>
    <row r="248" spans="8:9" ht="12.75">
      <c r="H248" s="88"/>
      <c r="I248" s="88"/>
    </row>
    <row r="249" spans="8:9" ht="12.75">
      <c r="H249" s="88"/>
      <c r="I249" s="88"/>
    </row>
    <row r="250" spans="8:9" ht="12.75">
      <c r="H250" s="88"/>
      <c r="I250" s="88"/>
    </row>
    <row r="251" spans="8:9" ht="12.75">
      <c r="H251" s="88"/>
      <c r="I251" s="88"/>
    </row>
    <row r="252" spans="8:9" ht="12.75">
      <c r="H252" s="88"/>
      <c r="I252" s="88"/>
    </row>
    <row r="253" spans="8:9" ht="12.75">
      <c r="H253" s="88"/>
      <c r="I253" s="88"/>
    </row>
    <row r="254" spans="8:9" ht="12.75">
      <c r="H254" s="88"/>
      <c r="I254" s="88"/>
    </row>
    <row r="255" spans="8:9" ht="12.75">
      <c r="H255" s="88"/>
      <c r="I255" s="88"/>
    </row>
    <row r="256" spans="8:9" ht="12.75">
      <c r="H256" s="88"/>
      <c r="I256" s="88"/>
    </row>
    <row r="257" spans="8:9" ht="12.75">
      <c r="H257" s="88"/>
      <c r="I257" s="88"/>
    </row>
    <row r="258" spans="8:9" ht="12.75">
      <c r="H258" s="88"/>
      <c r="I258" s="88"/>
    </row>
    <row r="259" spans="8:9" ht="12.75">
      <c r="H259" s="88"/>
      <c r="I259" s="88"/>
    </row>
    <row r="260" spans="8:9" ht="12.75">
      <c r="H260" s="88"/>
      <c r="I260" s="88"/>
    </row>
    <row r="261" spans="8:9" ht="12.75">
      <c r="H261" s="88"/>
      <c r="I261" s="88"/>
    </row>
    <row r="262" spans="8:9" ht="12.75">
      <c r="H262" s="88"/>
      <c r="I262" s="88"/>
    </row>
    <row r="263" spans="8:9" ht="12.75">
      <c r="H263" s="88"/>
      <c r="I263" s="88"/>
    </row>
    <row r="264" spans="8:9" ht="12.75">
      <c r="H264" s="88"/>
      <c r="I264" s="88"/>
    </row>
    <row r="265" spans="8:9" ht="12.75">
      <c r="H265" s="88"/>
      <c r="I265" s="88"/>
    </row>
    <row r="266" spans="8:9" ht="12.75">
      <c r="H266" s="88"/>
      <c r="I266" s="88"/>
    </row>
    <row r="267" spans="8:9" ht="12.75">
      <c r="H267" s="88"/>
      <c r="I267" s="88"/>
    </row>
    <row r="268" spans="8:9" ht="12.75">
      <c r="H268" s="88"/>
      <c r="I268" s="88"/>
    </row>
    <row r="269" spans="8:9" ht="12.75">
      <c r="H269" s="88"/>
      <c r="I269" s="88"/>
    </row>
    <row r="270" spans="8:9" ht="12.75">
      <c r="H270" s="88"/>
      <c r="I270" s="88"/>
    </row>
    <row r="271" spans="8:9" ht="12.75">
      <c r="H271" s="88"/>
      <c r="I271" s="88"/>
    </row>
    <row r="272" spans="8:9" ht="12.75">
      <c r="H272" s="88"/>
      <c r="I272" s="88"/>
    </row>
    <row r="273" spans="8:9" ht="12.75">
      <c r="H273" s="88"/>
      <c r="I273" s="88"/>
    </row>
    <row r="274" spans="8:9" ht="12.75">
      <c r="H274" s="88"/>
      <c r="I274" s="88"/>
    </row>
    <row r="275" spans="8:9" ht="12.75">
      <c r="H275" s="88"/>
      <c r="I275" s="88"/>
    </row>
    <row r="276" spans="8:9" ht="12.75">
      <c r="H276" s="88"/>
      <c r="I276" s="88"/>
    </row>
    <row r="277" spans="8:9" ht="12.75">
      <c r="H277" s="88"/>
      <c r="I277" s="88"/>
    </row>
    <row r="278" spans="8:9" ht="12.75">
      <c r="H278" s="88"/>
      <c r="I278" s="88"/>
    </row>
    <row r="279" spans="8:9" ht="12.75">
      <c r="H279" s="88"/>
      <c r="I279" s="88"/>
    </row>
    <row r="280" spans="8:9" ht="12.75">
      <c r="H280" s="88"/>
      <c r="I280" s="88"/>
    </row>
    <row r="281" spans="8:9" ht="12.75">
      <c r="H281" s="88"/>
      <c r="I281" s="88"/>
    </row>
    <row r="282" spans="8:9" ht="12.75">
      <c r="H282" s="88"/>
      <c r="I282" s="88"/>
    </row>
    <row r="283" spans="8:9" ht="12.75">
      <c r="H283" s="88"/>
      <c r="I283" s="88"/>
    </row>
    <row r="284" spans="8:9" ht="12.75">
      <c r="H284" s="88"/>
      <c r="I284" s="88"/>
    </row>
    <row r="285" spans="8:9" ht="12.75">
      <c r="H285" s="88"/>
      <c r="I285" s="88"/>
    </row>
    <row r="286" spans="8:9" ht="12.75">
      <c r="H286" s="88"/>
      <c r="I286" s="88"/>
    </row>
    <row r="287" spans="8:9" ht="12.75">
      <c r="H287" s="88"/>
      <c r="I287" s="88"/>
    </row>
    <row r="288" spans="8:9" ht="12.75">
      <c r="H288" s="88"/>
      <c r="I288" s="88"/>
    </row>
    <row r="289" spans="8:9" ht="12.75">
      <c r="H289" s="88"/>
      <c r="I289" s="88"/>
    </row>
    <row r="290" spans="8:9" ht="12.75">
      <c r="H290" s="88"/>
      <c r="I290" s="88"/>
    </row>
    <row r="291" spans="8:9" ht="12.75">
      <c r="H291" s="88"/>
      <c r="I291" s="88"/>
    </row>
    <row r="292" spans="8:9" ht="12.75">
      <c r="H292" s="88"/>
      <c r="I292" s="88"/>
    </row>
    <row r="293" spans="8:9" ht="12.75">
      <c r="H293" s="88"/>
      <c r="I293" s="88"/>
    </row>
    <row r="294" spans="8:9" ht="12.75">
      <c r="H294" s="88"/>
      <c r="I294" s="88"/>
    </row>
    <row r="295" spans="8:9" ht="12.75">
      <c r="H295" s="88"/>
      <c r="I295" s="88"/>
    </row>
    <row r="296" spans="8:9" ht="12.75">
      <c r="H296" s="88"/>
      <c r="I296" s="88"/>
    </row>
    <row r="297" spans="8:9" ht="12.75">
      <c r="H297" s="88"/>
      <c r="I297" s="88"/>
    </row>
    <row r="298" spans="8:9" ht="12.75">
      <c r="H298" s="88"/>
      <c r="I298" s="88"/>
    </row>
    <row r="299" spans="8:9" ht="12.75">
      <c r="H299" s="88"/>
      <c r="I299" s="88"/>
    </row>
    <row r="300" spans="8:9" ht="12.75">
      <c r="H300" s="88"/>
      <c r="I300" s="88"/>
    </row>
    <row r="301" spans="8:9" ht="12.75">
      <c r="H301" s="88"/>
      <c r="I301" s="88"/>
    </row>
    <row r="302" spans="8:9" ht="12.75">
      <c r="H302" s="88"/>
      <c r="I302" s="88"/>
    </row>
    <row r="303" spans="8:9" ht="12.75">
      <c r="H303" s="88"/>
      <c r="I303" s="88"/>
    </row>
    <row r="304" spans="8:9" ht="12.75">
      <c r="H304" s="88"/>
      <c r="I304" s="88"/>
    </row>
    <row r="305" spans="8:9" ht="12.75">
      <c r="H305" s="88"/>
      <c r="I305" s="88"/>
    </row>
    <row r="306" spans="8:9" ht="12.75">
      <c r="H306" s="88"/>
      <c r="I306" s="88"/>
    </row>
    <row r="307" spans="8:9" ht="12.75">
      <c r="H307" s="88"/>
      <c r="I307" s="88"/>
    </row>
    <row r="308" spans="8:9" ht="12.75">
      <c r="H308" s="88"/>
      <c r="I308" s="88"/>
    </row>
    <row r="309" spans="8:9" ht="12.75">
      <c r="H309" s="88"/>
      <c r="I309" s="88"/>
    </row>
    <row r="310" spans="8:9" ht="12.75">
      <c r="H310" s="88"/>
      <c r="I310" s="88"/>
    </row>
    <row r="311" spans="8:9" ht="12.75">
      <c r="H311" s="88"/>
      <c r="I311" s="88"/>
    </row>
    <row r="312" spans="8:9" ht="12.75">
      <c r="H312" s="88"/>
      <c r="I312" s="88"/>
    </row>
    <row r="313" spans="8:9" ht="12.75">
      <c r="H313" s="88"/>
      <c r="I313" s="88"/>
    </row>
    <row r="314" spans="8:9" ht="12.75">
      <c r="H314" s="88"/>
      <c r="I314" s="88"/>
    </row>
    <row r="315" spans="8:9" ht="12.75">
      <c r="H315" s="88"/>
      <c r="I315" s="88"/>
    </row>
    <row r="316" spans="8:9" ht="12.75">
      <c r="H316" s="88"/>
      <c r="I316" s="88"/>
    </row>
    <row r="317" spans="8:9" ht="12.75">
      <c r="H317" s="88"/>
      <c r="I317" s="88"/>
    </row>
    <row r="318" spans="8:9" ht="12.75">
      <c r="H318" s="88"/>
      <c r="I318" s="88"/>
    </row>
    <row r="319" spans="8:9" ht="12.75">
      <c r="H319" s="88"/>
      <c r="I319" s="88"/>
    </row>
    <row r="320" spans="8:9" ht="12.75">
      <c r="H320" s="88"/>
      <c r="I320" s="88"/>
    </row>
    <row r="321" spans="8:9" ht="12.75">
      <c r="H321" s="88"/>
      <c r="I321" s="88"/>
    </row>
    <row r="322" spans="8:9" ht="12.75">
      <c r="H322" s="88"/>
      <c r="I322" s="88"/>
    </row>
    <row r="323" spans="8:9" ht="12.75">
      <c r="H323" s="88"/>
      <c r="I323" s="88"/>
    </row>
    <row r="324" spans="8:9" ht="12.75">
      <c r="H324" s="88"/>
      <c r="I324" s="88"/>
    </row>
    <row r="325" spans="8:9" ht="12.75">
      <c r="H325" s="88"/>
      <c r="I325" s="88"/>
    </row>
    <row r="326" spans="8:9" ht="12.75">
      <c r="H326" s="88"/>
      <c r="I326" s="88"/>
    </row>
    <row r="327" spans="8:9" ht="12.75">
      <c r="H327" s="88"/>
      <c r="I327" s="88"/>
    </row>
    <row r="328" spans="8:9" ht="12.75">
      <c r="H328" s="88"/>
      <c r="I328" s="88"/>
    </row>
    <row r="329" spans="8:9" ht="12.75">
      <c r="H329" s="88"/>
      <c r="I329" s="88"/>
    </row>
    <row r="330" spans="8:9" ht="12.75">
      <c r="H330" s="88"/>
      <c r="I330" s="88"/>
    </row>
    <row r="331" spans="8:9" ht="12.75">
      <c r="H331" s="88"/>
      <c r="I331" s="88"/>
    </row>
    <row r="332" spans="8:9" ht="12.75">
      <c r="H332" s="88"/>
      <c r="I332" s="88"/>
    </row>
    <row r="333" spans="8:9" ht="12.75">
      <c r="H333" s="88"/>
      <c r="I333" s="88"/>
    </row>
    <row r="334" spans="8:9" ht="12.75">
      <c r="H334" s="88"/>
      <c r="I334" s="88"/>
    </row>
    <row r="335" spans="8:9" ht="12.75">
      <c r="H335" s="88"/>
      <c r="I335" s="88"/>
    </row>
    <row r="336" spans="8:9" ht="12.75">
      <c r="H336" s="88"/>
      <c r="I336" s="88"/>
    </row>
    <row r="337" spans="8:9" ht="12.75">
      <c r="H337" s="88"/>
      <c r="I337" s="88"/>
    </row>
    <row r="338" spans="8:9" ht="12.75">
      <c r="H338" s="88"/>
      <c r="I338" s="88"/>
    </row>
    <row r="339" spans="8:9" ht="12.75">
      <c r="H339" s="88"/>
      <c r="I339" s="88"/>
    </row>
    <row r="340" spans="8:9" ht="12.75">
      <c r="H340" s="88"/>
      <c r="I340" s="88"/>
    </row>
    <row r="341" spans="8:9" ht="12.75">
      <c r="H341" s="88"/>
      <c r="I341" s="88"/>
    </row>
    <row r="342" spans="8:9" ht="12.75">
      <c r="H342" s="88"/>
      <c r="I342" s="88"/>
    </row>
    <row r="343" spans="8:9" ht="12.75">
      <c r="H343" s="88"/>
      <c r="I343" s="88"/>
    </row>
    <row r="344" spans="8:9" ht="12.75">
      <c r="H344" s="88"/>
      <c r="I344" s="88"/>
    </row>
    <row r="345" spans="8:9" ht="12.75">
      <c r="H345" s="88"/>
      <c r="I345" s="88"/>
    </row>
    <row r="346" spans="8:9" ht="12.75">
      <c r="H346" s="88"/>
      <c r="I346" s="88"/>
    </row>
    <row r="347" spans="8:9" ht="12.75">
      <c r="H347" s="88"/>
      <c r="I347" s="88"/>
    </row>
    <row r="348" spans="8:9" ht="12.75">
      <c r="H348" s="88"/>
      <c r="I348" s="88"/>
    </row>
    <row r="349" spans="8:9" ht="12.75">
      <c r="H349" s="88"/>
      <c r="I349" s="88"/>
    </row>
    <row r="350" spans="8:9" ht="12.75">
      <c r="H350" s="88"/>
      <c r="I350" s="88"/>
    </row>
    <row r="351" spans="8:9" ht="12.75">
      <c r="H351" s="88"/>
      <c r="I351" s="88"/>
    </row>
    <row r="352" spans="8:9" ht="12.75">
      <c r="H352" s="88"/>
      <c r="I352" s="88"/>
    </row>
    <row r="353" spans="8:9" ht="12.75">
      <c r="H353" s="88"/>
      <c r="I353" s="88"/>
    </row>
    <row r="354" spans="8:9" ht="12.75">
      <c r="H354" s="88"/>
      <c r="I354" s="88"/>
    </row>
    <row r="355" spans="8:9" ht="12.75">
      <c r="H355" s="88"/>
      <c r="I355" s="88"/>
    </row>
    <row r="356" spans="8:9" ht="12.75">
      <c r="H356" s="88"/>
      <c r="I356" s="88"/>
    </row>
    <row r="357" spans="8:9" ht="12.75">
      <c r="H357" s="88"/>
      <c r="I357" s="88"/>
    </row>
    <row r="358" spans="8:9" ht="12.75">
      <c r="H358" s="88"/>
      <c r="I358" s="88"/>
    </row>
    <row r="359" spans="8:9" ht="12.75">
      <c r="H359" s="88"/>
      <c r="I359" s="88"/>
    </row>
    <row r="360" spans="8:9" ht="12.75">
      <c r="H360" s="88"/>
      <c r="I360" s="88"/>
    </row>
    <row r="361" spans="8:9" ht="12.75">
      <c r="H361" s="88"/>
      <c r="I361" s="88"/>
    </row>
    <row r="362" spans="8:9" ht="12.75">
      <c r="H362" s="88"/>
      <c r="I362" s="88"/>
    </row>
    <row r="363" spans="8:9" ht="12.75">
      <c r="H363" s="88"/>
      <c r="I363" s="88"/>
    </row>
    <row r="364" spans="8:9" ht="12.75">
      <c r="H364" s="88"/>
      <c r="I364" s="88"/>
    </row>
    <row r="365" spans="8:9" ht="12.75">
      <c r="H365" s="88"/>
      <c r="I365" s="88"/>
    </row>
    <row r="366" spans="8:9" ht="12.75">
      <c r="H366" s="88"/>
      <c r="I366" s="88"/>
    </row>
    <row r="367" spans="8:9" ht="12.75">
      <c r="H367" s="88"/>
      <c r="I367" s="88"/>
    </row>
    <row r="368" spans="8:9" ht="12.75">
      <c r="H368" s="88"/>
      <c r="I368" s="88"/>
    </row>
    <row r="369" spans="8:9" ht="12.75">
      <c r="H369" s="88"/>
      <c r="I369" s="88"/>
    </row>
    <row r="370" spans="8:9" ht="12.75">
      <c r="H370" s="88"/>
      <c r="I370" s="88"/>
    </row>
    <row r="371" spans="8:9" ht="12.75">
      <c r="H371" s="88"/>
      <c r="I371" s="88"/>
    </row>
    <row r="372" spans="8:9" ht="12.75">
      <c r="H372" s="88"/>
      <c r="I372" s="88"/>
    </row>
    <row r="373" spans="8:9" ht="12.75">
      <c r="H373" s="88"/>
      <c r="I373" s="88"/>
    </row>
    <row r="374" spans="8:9" ht="12.75">
      <c r="H374" s="88"/>
      <c r="I374" s="88"/>
    </row>
    <row r="375" spans="8:9" ht="12.75">
      <c r="H375" s="88"/>
      <c r="I375" s="88"/>
    </row>
    <row r="376" spans="8:9" ht="12.75">
      <c r="H376" s="88"/>
      <c r="I376" s="88"/>
    </row>
    <row r="377" spans="8:9" ht="12.75">
      <c r="H377" s="88"/>
      <c r="I377" s="88"/>
    </row>
    <row r="378" spans="8:9" ht="12.75">
      <c r="H378" s="88"/>
      <c r="I378" s="88"/>
    </row>
    <row r="379" spans="8:9" ht="12.75">
      <c r="H379" s="88"/>
      <c r="I379" s="88"/>
    </row>
    <row r="380" spans="8:9" ht="12.75">
      <c r="H380" s="88"/>
      <c r="I380" s="88"/>
    </row>
    <row r="381" spans="8:9" ht="12.75">
      <c r="H381" s="88"/>
      <c r="I381" s="88"/>
    </row>
    <row r="382" spans="8:9" ht="12.75">
      <c r="H382" s="88"/>
      <c r="I382" s="88"/>
    </row>
    <row r="383" spans="8:9" ht="12.75">
      <c r="H383" s="88"/>
      <c r="I383" s="88"/>
    </row>
    <row r="384" spans="8:9" ht="12.75">
      <c r="H384" s="88"/>
      <c r="I384" s="88"/>
    </row>
    <row r="385" spans="8:9" ht="12.75">
      <c r="H385" s="88"/>
      <c r="I385" s="88"/>
    </row>
    <row r="386" spans="8:9" ht="12.75">
      <c r="H386" s="88"/>
      <c r="I386" s="88"/>
    </row>
    <row r="387" spans="8:9" ht="12.75">
      <c r="H387" s="88"/>
      <c r="I387" s="88"/>
    </row>
    <row r="388" spans="8:9" ht="12.75">
      <c r="H388" s="88"/>
      <c r="I388" s="88"/>
    </row>
    <row r="389" spans="8:9" ht="12.75">
      <c r="H389" s="88"/>
      <c r="I389" s="88"/>
    </row>
    <row r="390" spans="8:9" ht="12.75">
      <c r="H390" s="88"/>
      <c r="I390" s="88"/>
    </row>
    <row r="391" spans="8:9" ht="12.75">
      <c r="H391" s="88"/>
      <c r="I391" s="88"/>
    </row>
    <row r="392" spans="8:9" ht="12.75">
      <c r="H392" s="88"/>
      <c r="I392" s="88"/>
    </row>
    <row r="393" spans="8:9" ht="12.75">
      <c r="H393" s="88"/>
      <c r="I393" s="88"/>
    </row>
    <row r="394" spans="8:9" ht="12.75">
      <c r="H394" s="88"/>
      <c r="I394" s="88"/>
    </row>
    <row r="395" spans="8:9" ht="12.75">
      <c r="H395" s="88"/>
      <c r="I395" s="88"/>
    </row>
    <row r="396" spans="8:9" ht="12.75">
      <c r="H396" s="88"/>
      <c r="I396" s="88"/>
    </row>
    <row r="397" spans="8:9" ht="12.75">
      <c r="H397" s="88"/>
      <c r="I397" s="88"/>
    </row>
    <row r="398" spans="8:9" ht="12.75">
      <c r="H398" s="88"/>
      <c r="I398" s="88"/>
    </row>
    <row r="399" spans="8:9" ht="12.75">
      <c r="H399" s="88"/>
      <c r="I399" s="88"/>
    </row>
    <row r="400" spans="8:9" ht="12.75">
      <c r="H400" s="88"/>
      <c r="I400" s="88"/>
    </row>
    <row r="401" spans="8:9" ht="12.75">
      <c r="H401" s="88"/>
      <c r="I401" s="88"/>
    </row>
    <row r="402" spans="8:9" ht="12.75">
      <c r="H402" s="88"/>
      <c r="I402" s="88"/>
    </row>
    <row r="403" spans="8:9" ht="12.75">
      <c r="H403" s="88"/>
      <c r="I403" s="88"/>
    </row>
    <row r="404" spans="8:9" ht="12.75">
      <c r="H404" s="88"/>
      <c r="I404" s="88"/>
    </row>
    <row r="405" spans="8:9" ht="12.75">
      <c r="H405" s="88"/>
      <c r="I405" s="88"/>
    </row>
    <row r="406" spans="8:9" ht="12.75">
      <c r="H406" s="88"/>
      <c r="I406" s="88"/>
    </row>
    <row r="407" spans="8:9" ht="12.75">
      <c r="H407" s="88"/>
      <c r="I407" s="88"/>
    </row>
    <row r="408" spans="8:9" ht="12.75">
      <c r="H408" s="88"/>
      <c r="I408" s="88"/>
    </row>
    <row r="409" spans="8:9" ht="12.75">
      <c r="H409" s="88"/>
      <c r="I409" s="88"/>
    </row>
    <row r="410" spans="8:9" ht="12.75">
      <c r="H410" s="88"/>
      <c r="I410" s="88"/>
    </row>
    <row r="411" spans="8:9" ht="12.75">
      <c r="H411" s="88"/>
      <c r="I411" s="88"/>
    </row>
    <row r="412" spans="8:9" ht="12.75">
      <c r="H412" s="88"/>
      <c r="I412" s="88"/>
    </row>
    <row r="413" spans="8:9" ht="12.75">
      <c r="H413" s="88"/>
      <c r="I413" s="88"/>
    </row>
    <row r="414" spans="8:9" ht="12.75">
      <c r="H414" s="88"/>
      <c r="I414" s="88"/>
    </row>
    <row r="415" spans="8:9" ht="12.75">
      <c r="H415" s="88"/>
      <c r="I415" s="88"/>
    </row>
    <row r="416" spans="8:9" ht="12.75">
      <c r="H416" s="88"/>
      <c r="I416" s="88"/>
    </row>
    <row r="417" spans="8:9" ht="12.75">
      <c r="H417" s="88"/>
      <c r="I417" s="88"/>
    </row>
    <row r="418" spans="8:9" ht="12.75">
      <c r="H418" s="88"/>
      <c r="I418" s="88"/>
    </row>
    <row r="419" spans="8:9" ht="12.75">
      <c r="H419" s="88"/>
      <c r="I419" s="88"/>
    </row>
    <row r="420" spans="8:9" ht="12.75">
      <c r="H420" s="88"/>
      <c r="I420" s="88"/>
    </row>
    <row r="421" spans="8:9" ht="12.75">
      <c r="H421" s="88"/>
      <c r="I421" s="88"/>
    </row>
    <row r="422" spans="8:9" ht="12.75">
      <c r="H422" s="88"/>
      <c r="I422" s="88"/>
    </row>
    <row r="423" spans="8:9" ht="12.75">
      <c r="H423" s="88"/>
      <c r="I423" s="88"/>
    </row>
    <row r="424" spans="8:9" ht="12.75">
      <c r="H424" s="88"/>
      <c r="I424" s="88"/>
    </row>
    <row r="425" spans="8:9" ht="12.75">
      <c r="H425" s="88"/>
      <c r="I425" s="88"/>
    </row>
    <row r="426" spans="8:9" ht="12.75">
      <c r="H426" s="88"/>
      <c r="I426" s="88"/>
    </row>
    <row r="427" spans="8:9" ht="12.75">
      <c r="H427" s="88"/>
      <c r="I427" s="88"/>
    </row>
    <row r="428" spans="8:9" ht="12.75">
      <c r="H428" s="88"/>
      <c r="I428" s="88"/>
    </row>
    <row r="429" spans="8:9" ht="12.75">
      <c r="H429" s="88"/>
      <c r="I429" s="88"/>
    </row>
    <row r="430" spans="8:9" ht="12.75">
      <c r="H430" s="88"/>
      <c r="I430" s="88"/>
    </row>
    <row r="431" spans="8:9" ht="12.75">
      <c r="H431" s="88"/>
      <c r="I431" s="88"/>
    </row>
    <row r="432" spans="8:9" ht="12.75">
      <c r="H432" s="88"/>
      <c r="I432" s="88"/>
    </row>
    <row r="433" spans="8:9" ht="12.75">
      <c r="H433" s="88"/>
      <c r="I433" s="88"/>
    </row>
    <row r="434" spans="8:9" ht="12.75">
      <c r="H434" s="88"/>
      <c r="I434" s="88"/>
    </row>
    <row r="435" spans="8:9" ht="12.75">
      <c r="H435" s="88"/>
      <c r="I435" s="88"/>
    </row>
    <row r="436" spans="8:9" ht="12.75">
      <c r="H436" s="88"/>
      <c r="I436" s="88"/>
    </row>
    <row r="437" spans="8:9" ht="12.75">
      <c r="H437" s="88"/>
      <c r="I437" s="88"/>
    </row>
    <row r="438" spans="8:9" ht="12.75">
      <c r="H438" s="88"/>
      <c r="I438" s="88"/>
    </row>
    <row r="439" spans="8:9" ht="12.75">
      <c r="H439" s="88"/>
      <c r="I439" s="88"/>
    </row>
    <row r="440" spans="8:9" ht="12.75">
      <c r="H440" s="88"/>
      <c r="I440" s="88"/>
    </row>
    <row r="441" spans="8:9" ht="12.75">
      <c r="H441" s="88"/>
      <c r="I441" s="88"/>
    </row>
    <row r="442" spans="8:9" ht="12.75">
      <c r="H442" s="88"/>
      <c r="I442" s="88"/>
    </row>
    <row r="443" spans="8:9" ht="12.75">
      <c r="H443" s="88"/>
      <c r="I443" s="88"/>
    </row>
    <row r="444" spans="8:9" ht="12.75">
      <c r="H444" s="88"/>
      <c r="I444" s="88"/>
    </row>
  </sheetData>
  <sheetProtection selectLockedCells="1"/>
  <mergeCells count="5">
    <mergeCell ref="A1:I4"/>
    <mergeCell ref="A6:E6"/>
    <mergeCell ref="F6:I6"/>
    <mergeCell ref="A33:F33"/>
    <mergeCell ref="H33:J33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S430"/>
  <sheetViews>
    <sheetView zoomScale="85" zoomScaleNormal="85" workbookViewId="0" topLeftCell="A1">
      <selection activeCell="M10" sqref="M10"/>
    </sheetView>
  </sheetViews>
  <sheetFormatPr defaultColWidth="9.140625" defaultRowHeight="12.75"/>
  <cols>
    <col min="1" max="1" width="9.140625" style="88" customWidth="1"/>
    <col min="2" max="2" width="13.28125" style="88" customWidth="1"/>
    <col min="3" max="3" width="12.57421875" style="88" customWidth="1"/>
    <col min="4" max="4" width="11.57421875" style="88" customWidth="1"/>
    <col min="5" max="5" width="11.8515625" style="88" customWidth="1"/>
    <col min="6" max="6" width="11.00390625" style="88" customWidth="1"/>
    <col min="7" max="7" width="12.421875" style="88" customWidth="1"/>
    <col min="8" max="8" width="12.140625" style="124" customWidth="1"/>
    <col min="9" max="9" width="10.00390625" style="124" customWidth="1"/>
    <col min="10" max="10" width="7.00390625" style="88" customWidth="1"/>
    <col min="11" max="11" width="11.421875" style="88" customWidth="1"/>
    <col min="12" max="12" width="13.28125" style="88" customWidth="1"/>
    <col min="13" max="13" width="22.8515625" style="88" customWidth="1"/>
    <col min="14" max="16384" width="9.140625" style="88" customWidth="1"/>
  </cols>
  <sheetData>
    <row r="1" spans="1:12" ht="12.75">
      <c r="A1" s="244" t="s">
        <v>86</v>
      </c>
      <c r="B1" s="245"/>
      <c r="C1" s="245"/>
      <c r="D1" s="245"/>
      <c r="E1" s="245"/>
      <c r="F1" s="245"/>
      <c r="G1" s="245"/>
      <c r="H1" s="245"/>
      <c r="I1" s="245"/>
      <c r="J1" s="79"/>
      <c r="K1" s="79"/>
      <c r="L1" s="79"/>
    </row>
    <row r="2" spans="1:12" ht="12.75">
      <c r="A2" s="246"/>
      <c r="B2" s="245"/>
      <c r="C2" s="245"/>
      <c r="D2" s="245"/>
      <c r="E2" s="245"/>
      <c r="F2" s="245"/>
      <c r="G2" s="245"/>
      <c r="H2" s="245"/>
      <c r="I2" s="245"/>
      <c r="J2" s="79"/>
      <c r="K2" s="79"/>
      <c r="L2" s="79"/>
    </row>
    <row r="3" spans="1:12" ht="12.75">
      <c r="A3" s="245"/>
      <c r="B3" s="245"/>
      <c r="C3" s="245"/>
      <c r="D3" s="245"/>
      <c r="E3" s="245"/>
      <c r="F3" s="245"/>
      <c r="G3" s="245"/>
      <c r="H3" s="245"/>
      <c r="I3" s="245"/>
      <c r="J3" s="79"/>
      <c r="K3" s="79"/>
      <c r="L3" s="79"/>
    </row>
    <row r="4" spans="1:12" ht="12.75">
      <c r="A4" s="245"/>
      <c r="B4" s="245"/>
      <c r="C4" s="245"/>
      <c r="D4" s="245"/>
      <c r="E4" s="245"/>
      <c r="F4" s="245"/>
      <c r="G4" s="245"/>
      <c r="H4" s="245"/>
      <c r="I4" s="245"/>
      <c r="J4" s="79"/>
      <c r="K4" s="79"/>
      <c r="L4" s="79"/>
    </row>
    <row r="5" spans="1:12" ht="20.25">
      <c r="A5" s="80" t="str">
        <f>IF(NVTable_Data_Entry!L47=1,"OSU-NFOA Winter Wheat RI-ADJ Algorithm",IF(NVTable_Data_Entry!L47=2,"OSU-NFOA Spring Wheat RI-ADJ Algorithm","OSU-NFOA Corn RI-ADJ Algorithm"))</f>
        <v>OSU-NFOA Winter Wheat RI-ADJ Algorithm</v>
      </c>
      <c r="B5" s="78"/>
      <c r="C5" s="78"/>
      <c r="D5" s="78"/>
      <c r="E5" s="78"/>
      <c r="F5" s="78"/>
      <c r="G5" s="78"/>
      <c r="H5" s="78"/>
      <c r="I5" s="78"/>
      <c r="J5" s="79"/>
      <c r="K5" s="79"/>
      <c r="L5" s="79"/>
    </row>
    <row r="6" spans="1:12" ht="13.5" thickBot="1">
      <c r="A6" s="247" t="s">
        <v>15</v>
      </c>
      <c r="B6" s="248"/>
      <c r="C6" s="248"/>
      <c r="D6" s="248"/>
      <c r="E6" s="248"/>
      <c r="F6" s="248" t="s">
        <v>9</v>
      </c>
      <c r="G6" s="248"/>
      <c r="H6" s="248"/>
      <c r="I6" s="248"/>
      <c r="J6" s="81"/>
      <c r="K6" s="81"/>
      <c r="L6" s="81"/>
    </row>
    <row r="7" spans="1:12" ht="12.75">
      <c r="A7" s="82"/>
      <c r="B7" s="83" t="s">
        <v>20</v>
      </c>
      <c r="C7" s="83" t="s">
        <v>21</v>
      </c>
      <c r="D7" s="96" t="s">
        <v>133</v>
      </c>
      <c r="E7" s="82"/>
      <c r="F7" s="82"/>
      <c r="G7" s="82"/>
      <c r="H7" s="84"/>
      <c r="I7" s="84"/>
      <c r="J7" s="82"/>
      <c r="K7" s="82"/>
      <c r="L7" s="82"/>
    </row>
    <row r="8" spans="1:12" ht="12.75">
      <c r="A8" s="82"/>
      <c r="B8" s="85">
        <f>NVTable_Data_Entry!B8</f>
        <v>0.32</v>
      </c>
      <c r="C8" s="85">
        <f>NVTable_Data_Entry!C8</f>
        <v>0.7</v>
      </c>
      <c r="D8" s="85">
        <f>NVTable_Data_Entry!D8</f>
        <v>0.8</v>
      </c>
      <c r="E8" s="82"/>
      <c r="F8" s="86">
        <f>NVTable_Data_Entry!F8</f>
        <v>0.532</v>
      </c>
      <c r="G8" s="87">
        <f>NVTable_Data_Entry!G8</f>
        <v>270.1</v>
      </c>
      <c r="H8" s="87">
        <f>NVTable_Data_Entry!H8</f>
        <v>0.0239</v>
      </c>
      <c r="I8" s="87">
        <f>NVTable_Data_Entry!I8</f>
        <v>60</v>
      </c>
      <c r="J8" s="82"/>
      <c r="K8" s="82"/>
      <c r="L8" s="82"/>
    </row>
    <row r="9" spans="1:12" ht="12.75">
      <c r="A9" s="82"/>
      <c r="B9" s="84"/>
      <c r="C9" s="84"/>
      <c r="D9" s="82"/>
      <c r="E9" s="82"/>
      <c r="F9" s="82"/>
      <c r="G9" s="82"/>
      <c r="H9" s="84"/>
      <c r="I9" s="84"/>
      <c r="J9" s="82"/>
      <c r="K9" s="82"/>
      <c r="L9" s="82"/>
    </row>
    <row r="10" spans="1:12" ht="12.75">
      <c r="A10" s="82"/>
      <c r="B10" s="91" t="s">
        <v>50</v>
      </c>
      <c r="C10" s="84"/>
      <c r="D10" s="82"/>
      <c r="E10" s="125"/>
      <c r="F10" s="82"/>
      <c r="G10" s="82"/>
      <c r="H10" s="84"/>
      <c r="I10" s="84"/>
      <c r="J10" s="82"/>
      <c r="K10" s="82"/>
      <c r="L10" s="82"/>
    </row>
    <row r="11" spans="1:12" ht="12.75">
      <c r="A11" s="82"/>
      <c r="B11" s="82"/>
      <c r="C11" s="89"/>
      <c r="D11" s="82"/>
      <c r="E11" s="126"/>
      <c r="F11" s="82"/>
      <c r="G11" s="82"/>
      <c r="H11" s="84"/>
      <c r="I11" s="84"/>
      <c r="J11" s="82"/>
      <c r="K11" s="82"/>
      <c r="L11" s="82"/>
    </row>
    <row r="12" spans="1:12" ht="12.75">
      <c r="A12" s="82"/>
      <c r="B12" s="89"/>
      <c r="C12" s="89"/>
      <c r="D12" s="82"/>
      <c r="E12" s="90"/>
      <c r="F12" s="82"/>
      <c r="G12" s="82"/>
      <c r="H12" s="84"/>
      <c r="I12" s="84"/>
      <c r="J12" s="82"/>
      <c r="K12" s="82"/>
      <c r="L12" s="82"/>
    </row>
    <row r="13" spans="1:12" ht="12.75">
      <c r="A13" s="82"/>
      <c r="B13" s="91" t="s">
        <v>22</v>
      </c>
      <c r="C13" s="89"/>
      <c r="D13" s="82"/>
      <c r="E13" s="90"/>
      <c r="F13" s="83"/>
      <c r="G13" s="84"/>
      <c r="H13" s="84"/>
      <c r="I13" s="84"/>
      <c r="J13" s="82"/>
      <c r="K13" s="82"/>
      <c r="L13" s="82"/>
    </row>
    <row r="14" spans="1:12" ht="12.75">
      <c r="A14" s="82"/>
      <c r="B14" s="92">
        <f>NVTable_Data_Entry!B14</f>
        <v>0.6</v>
      </c>
      <c r="C14" s="84" t="s">
        <v>23</v>
      </c>
      <c r="D14" s="82"/>
      <c r="E14" s="90"/>
      <c r="F14" s="82"/>
      <c r="G14" s="82"/>
      <c r="H14" s="84"/>
      <c r="I14" s="84"/>
      <c r="J14" s="82"/>
      <c r="K14" s="82"/>
      <c r="L14" s="82"/>
    </row>
    <row r="15" spans="1:12" ht="12.75">
      <c r="A15" s="93"/>
      <c r="B15" s="84"/>
      <c r="C15" s="84"/>
      <c r="D15" s="82"/>
      <c r="E15" s="82"/>
      <c r="F15" s="82"/>
      <c r="G15" s="82"/>
      <c r="H15" s="82"/>
      <c r="I15" s="84"/>
      <c r="J15" s="82"/>
      <c r="K15" s="82"/>
      <c r="L15" s="82"/>
    </row>
    <row r="16" spans="1:12" ht="12.75">
      <c r="A16" s="93"/>
      <c r="B16" s="94" t="s">
        <v>0</v>
      </c>
      <c r="C16" s="94" t="s">
        <v>2</v>
      </c>
      <c r="D16" s="82"/>
      <c r="E16" s="95" t="s">
        <v>24</v>
      </c>
      <c r="F16" s="82"/>
      <c r="G16" s="96"/>
      <c r="H16" s="82"/>
      <c r="I16" s="82"/>
      <c r="J16" s="82"/>
      <c r="K16" s="82"/>
      <c r="L16" s="82"/>
    </row>
    <row r="17" spans="1:12" ht="12.75">
      <c r="A17" s="82"/>
      <c r="B17" s="97">
        <f>IF(C8/B8&lt;1.72,1.69*(C8/B8)-0.7,C8/B8)</f>
        <v>2.1875</v>
      </c>
      <c r="C17" s="85">
        <f>NVTable_Data_Entry!C17</f>
        <v>90</v>
      </c>
      <c r="D17" s="82"/>
      <c r="E17" s="98" t="str">
        <f>NVTable_Data_Entry!E17</f>
        <v>OSU</v>
      </c>
      <c r="F17" s="99"/>
      <c r="G17" s="99"/>
      <c r="H17" s="100"/>
      <c r="I17" s="82"/>
      <c r="J17" s="82"/>
      <c r="K17" s="82"/>
      <c r="L17" s="82"/>
    </row>
    <row r="18" spans="1:12" ht="12.75">
      <c r="A18" s="82"/>
      <c r="B18" s="84"/>
      <c r="C18" s="84"/>
      <c r="D18" s="82"/>
      <c r="E18" s="82"/>
      <c r="F18" s="82"/>
      <c r="G18" s="96"/>
      <c r="H18" s="82"/>
      <c r="I18" s="82"/>
      <c r="J18" s="82"/>
      <c r="K18" s="82"/>
      <c r="L18" s="82"/>
    </row>
    <row r="19" spans="1:12" ht="12.75">
      <c r="A19" s="82"/>
      <c r="B19" s="83" t="s">
        <v>13</v>
      </c>
      <c r="C19" s="91"/>
      <c r="D19" s="82"/>
      <c r="E19" s="95" t="s">
        <v>25</v>
      </c>
      <c r="F19" s="82"/>
      <c r="G19" s="83"/>
      <c r="H19" s="84"/>
      <c r="I19" s="84"/>
      <c r="J19" s="82"/>
      <c r="K19" s="82"/>
      <c r="L19" s="82"/>
    </row>
    <row r="20" spans="1:12" ht="12.75">
      <c r="A20" s="82"/>
      <c r="B20" s="169">
        <f>(F8*EXP(D8/C17*G8))*1000*2.2/I8/2.47</f>
        <v>87.13224532456105</v>
      </c>
      <c r="C20" s="84"/>
      <c r="D20" s="82"/>
      <c r="E20" s="98" t="str">
        <f>NVTable_Data_Entry!E20</f>
        <v>JD 2520</v>
      </c>
      <c r="F20" s="101"/>
      <c r="G20" s="102"/>
      <c r="H20" s="103"/>
      <c r="I20" s="84"/>
      <c r="J20" s="82"/>
      <c r="K20" s="82"/>
      <c r="L20" s="82"/>
    </row>
    <row r="21" spans="1:12" ht="12.75">
      <c r="A21" s="82"/>
      <c r="B21" s="82"/>
      <c r="C21" s="82"/>
      <c r="D21" s="82"/>
      <c r="E21" s="82"/>
      <c r="F21" s="82"/>
      <c r="G21" s="83"/>
      <c r="H21" s="82"/>
      <c r="I21" s="84"/>
      <c r="J21" s="82"/>
      <c r="K21" s="82"/>
      <c r="L21" s="82"/>
    </row>
    <row r="22" spans="1:12" ht="13.5" thickBot="1">
      <c r="A22" s="82"/>
      <c r="B22" s="96" t="s">
        <v>53</v>
      </c>
      <c r="C22" s="96" t="s">
        <v>65</v>
      </c>
      <c r="D22" s="96" t="s">
        <v>177</v>
      </c>
      <c r="E22" s="95" t="s">
        <v>38</v>
      </c>
      <c r="F22" s="82"/>
      <c r="G22" s="96"/>
      <c r="H22" s="84"/>
      <c r="I22" s="84"/>
      <c r="J22" s="82"/>
      <c r="K22" s="82"/>
      <c r="L22" s="82"/>
    </row>
    <row r="23" spans="1:12" ht="13.5" thickBot="1">
      <c r="A23" s="82"/>
      <c r="B23" s="104" t="str">
        <f>NVTable_Data_Entry!B23</f>
        <v>n</v>
      </c>
      <c r="C23" s="130">
        <f>NVTable_Data_Entry!C23</f>
        <v>5</v>
      </c>
      <c r="D23" s="166">
        <f>PSTable_New!E26</f>
        <v>2.99</v>
      </c>
      <c r="E23" s="98" t="str">
        <f>NVTable_Data_Entry!E23</f>
        <v>testcorn</v>
      </c>
      <c r="F23" s="82"/>
      <c r="G23" s="82"/>
      <c r="H23" s="84"/>
      <c r="I23" s="84"/>
      <c r="J23" s="82"/>
      <c r="K23" s="82"/>
      <c r="L23" s="82"/>
    </row>
    <row r="24" spans="1:12" ht="12.75">
      <c r="A24" s="82"/>
      <c r="B24" s="82"/>
      <c r="C24" s="82"/>
      <c r="D24" s="82"/>
      <c r="E24" s="82"/>
      <c r="F24" s="82"/>
      <c r="G24" s="82"/>
      <c r="H24" s="84"/>
      <c r="I24" s="84"/>
      <c r="J24" s="82"/>
      <c r="K24" s="82"/>
      <c r="L24" s="82"/>
    </row>
    <row r="25" spans="1:12" ht="12.75">
      <c r="A25" s="82"/>
      <c r="B25" s="96" t="s">
        <v>54</v>
      </c>
      <c r="C25" s="96" t="s">
        <v>55</v>
      </c>
      <c r="D25" s="82"/>
      <c r="E25" s="82"/>
      <c r="F25" s="82"/>
      <c r="G25" s="82"/>
      <c r="H25" s="84"/>
      <c r="I25" s="84"/>
      <c r="J25" s="82"/>
      <c r="K25" s="82"/>
      <c r="L25" s="82"/>
    </row>
    <row r="26" spans="1:12" ht="12.75">
      <c r="A26" s="82"/>
      <c r="B26" s="104" t="str">
        <f>NVTable_Data_Entry!B26</f>
        <v>n</v>
      </c>
      <c r="C26" s="104">
        <f>NVTable_Data_Entry!C26</f>
        <v>7</v>
      </c>
      <c r="D26" s="82"/>
      <c r="E26" s="82"/>
      <c r="F26" s="82"/>
      <c r="G26" s="82"/>
      <c r="H26" s="84"/>
      <c r="I26" s="84"/>
      <c r="J26" s="82"/>
      <c r="K26" s="82"/>
      <c r="L26" s="82"/>
    </row>
    <row r="27" spans="1:12" ht="13.5" thickBot="1">
      <c r="A27" s="82"/>
      <c r="B27" s="82"/>
      <c r="C27" s="82"/>
      <c r="D27" s="82"/>
      <c r="E27" s="82"/>
      <c r="F27" s="82"/>
      <c r="G27" s="82"/>
      <c r="H27" s="84"/>
      <c r="I27" s="84"/>
      <c r="J27" s="82"/>
      <c r="K27" s="82"/>
      <c r="L27" s="82"/>
    </row>
    <row r="28" spans="1:12" ht="13.5" thickTop="1">
      <c r="A28" s="105"/>
      <c r="B28" s="105"/>
      <c r="C28" s="105"/>
      <c r="D28" s="105"/>
      <c r="E28" s="105"/>
      <c r="F28" s="105"/>
      <c r="G28" s="105"/>
      <c r="H28" s="106"/>
      <c r="I28" s="106"/>
      <c r="J28" s="105"/>
      <c r="K28" s="105"/>
      <c r="L28" s="105"/>
    </row>
    <row r="29" spans="1:12" ht="12.75">
      <c r="A29" s="107" t="s">
        <v>14</v>
      </c>
      <c r="B29" s="107"/>
      <c r="C29" s="107"/>
      <c r="D29" s="108" t="s">
        <v>18</v>
      </c>
      <c r="E29" s="107"/>
      <c r="F29" s="107"/>
      <c r="G29" s="107"/>
      <c r="H29" s="109"/>
      <c r="I29" s="109"/>
      <c r="J29" s="107"/>
      <c r="K29" s="107"/>
      <c r="L29" s="107"/>
    </row>
    <row r="30" spans="1:12" ht="12.75">
      <c r="A30" s="108" t="s">
        <v>19</v>
      </c>
      <c r="B30" s="107"/>
      <c r="C30" s="107"/>
      <c r="D30" s="108" t="s">
        <v>17</v>
      </c>
      <c r="E30" s="107"/>
      <c r="F30" s="107"/>
      <c r="G30" s="107"/>
      <c r="H30" s="109"/>
      <c r="I30" s="109"/>
      <c r="J30" s="107"/>
      <c r="K30" s="107"/>
      <c r="L30" s="107"/>
    </row>
    <row r="31" spans="1:12" ht="12.75">
      <c r="A31" s="109"/>
      <c r="B31" s="107"/>
      <c r="C31" s="107"/>
      <c r="D31" s="107"/>
      <c r="E31" s="107"/>
      <c r="F31" s="107"/>
      <c r="G31" s="107"/>
      <c r="H31" s="109"/>
      <c r="I31" s="109"/>
      <c r="J31" s="107"/>
      <c r="K31" s="107"/>
      <c r="L31" s="107"/>
    </row>
    <row r="32" spans="1:12" ht="12.75">
      <c r="A32" s="110" t="s">
        <v>41</v>
      </c>
      <c r="B32" s="107"/>
      <c r="C32" s="107"/>
      <c r="D32" s="107"/>
      <c r="E32" s="107"/>
      <c r="F32" s="107"/>
      <c r="G32" s="107"/>
      <c r="H32" s="109"/>
      <c r="I32" s="109"/>
      <c r="J32" s="107"/>
      <c r="K32" s="107"/>
      <c r="L32" s="107"/>
    </row>
    <row r="33" spans="1:12" ht="13.5" thickBot="1">
      <c r="A33" s="249" t="s">
        <v>8</v>
      </c>
      <c r="B33" s="249"/>
      <c r="C33" s="249"/>
      <c r="D33" s="249"/>
      <c r="E33" s="249"/>
      <c r="F33" s="249"/>
      <c r="G33" s="111"/>
      <c r="H33" s="249" t="s">
        <v>7</v>
      </c>
      <c r="I33" s="250"/>
      <c r="J33" s="250"/>
      <c r="K33" s="112"/>
      <c r="L33" s="112"/>
    </row>
    <row r="34" spans="1:12" ht="12.75">
      <c r="A34" s="113"/>
      <c r="B34" s="113"/>
      <c r="C34" s="114" t="s">
        <v>16</v>
      </c>
      <c r="D34" s="113"/>
      <c r="E34" s="113"/>
      <c r="F34" s="113"/>
      <c r="G34" s="114" t="s">
        <v>16</v>
      </c>
      <c r="H34" s="113"/>
      <c r="I34" s="115"/>
      <c r="J34" s="115"/>
      <c r="K34" s="115"/>
      <c r="L34" s="111"/>
    </row>
    <row r="35" spans="1:15" ht="12.75">
      <c r="A35" s="116" t="s">
        <v>6</v>
      </c>
      <c r="B35" s="116" t="s">
        <v>1</v>
      </c>
      <c r="C35" s="127" t="str">
        <f>IF(NVTable_Data_Entry!D68=1,"'ml UAN(28)/m2",IF(NVTable_Data_Entry!D68=2,"mL UAN(32)/m2","mL soln 24/m2"))</f>
        <v>'ml UAN(28)/m2</v>
      </c>
      <c r="D35" s="116" t="s">
        <v>11</v>
      </c>
      <c r="E35" s="116" t="s">
        <v>12</v>
      </c>
      <c r="F35" s="117" t="s">
        <v>40</v>
      </c>
      <c r="G35" s="116" t="s">
        <v>3</v>
      </c>
      <c r="H35" s="116" t="s">
        <v>4</v>
      </c>
      <c r="I35" s="116" t="s">
        <v>5</v>
      </c>
      <c r="J35" s="116"/>
      <c r="K35" s="116" t="s">
        <v>4</v>
      </c>
      <c r="L35" s="116" t="s">
        <v>49</v>
      </c>
      <c r="M35" s="175"/>
      <c r="N35" s="177"/>
      <c r="O35" s="111"/>
    </row>
    <row r="36" spans="1:15" ht="12.75">
      <c r="A36" s="111">
        <v>0</v>
      </c>
      <c r="B36" s="111">
        <v>0.25</v>
      </c>
      <c r="C36" s="111">
        <f>((((MIN((($F$8*EXP((((B36))/$C$17)*$G$8))*1000/1.12/$I$8*RI),$B$20)*$I$8*$H$8)-(MIN((($F$8*EXP((((B36))/$C$17)*$G$8))*1000/1.12/$I$8),$B$20)*$I$8*$H$8))*IF(NVTable_Data_Entry!$D$68=1,0.313,IF(NVTable_Data_Entry!$D$68=2,0.263,0.403))))/0.6</f>
        <v>14.892229308899728</v>
      </c>
      <c r="D36" s="111">
        <f>(B36)/$C$17</f>
        <v>0.002777777777777778</v>
      </c>
      <c r="E36" s="111">
        <f>MIN(((($F$8*EXP(D36*$G$8))*1000)/1.12/$I$8),$B$20)</f>
        <v>16.76423955135043</v>
      </c>
      <c r="F36" s="111">
        <f>MIN(E36*$B$17,$B$20)</f>
        <v>36.671774018579065</v>
      </c>
      <c r="G36" s="111">
        <f>((F36*$I$8*$H$8)-(E36*$I$8*$H$8))/$B$14</f>
        <v>47.579007376676444</v>
      </c>
      <c r="H36" s="111">
        <f>IF($B$26="y",99,0)</f>
        <v>0</v>
      </c>
      <c r="I36" s="111">
        <f>LOOKUP(H36,$K$36:$K$43,$L$36:$L$43)</f>
        <v>0</v>
      </c>
      <c r="J36" s="111"/>
      <c r="K36" s="118">
        <v>0</v>
      </c>
      <c r="L36" s="118">
        <v>0</v>
      </c>
      <c r="M36" s="176"/>
      <c r="N36" s="119"/>
      <c r="O36" s="111"/>
    </row>
    <row r="37" spans="1:15" ht="12.75">
      <c r="A37" s="111">
        <v>1</v>
      </c>
      <c r="B37" s="111">
        <v>0.26</v>
      </c>
      <c r="C37" s="111">
        <f>((((MIN((($F$8*EXP((((B37))/$C$17)*$G$8))*1000/1.12/$I$8*RI),$B$20)*$I$8*$H$8)-(MIN((($F$8*EXP((((B37))/$C$17)*$G$8))*1000/1.12/$I$8),$B$20)*$I$8*$H$8))*IF(NVTable_Data_Entry!$D$68=1,0.313,IF(NVTable_Data_Entry!$D$68=2,0.263,0.403))))/0.6</f>
        <v>15.345935721480801</v>
      </c>
      <c r="D37" s="111">
        <f aca="true" t="shared" si="0" ref="D37:D99">(B37)/$C$17</f>
        <v>0.002888888888888889</v>
      </c>
      <c r="E37" s="111">
        <f aca="true" t="shared" si="1" ref="E37:E99">MIN(((($F$8*EXP(D37*$G$8))*1000)/1.12/$I$8),$B$20)</f>
        <v>17.274978597112202</v>
      </c>
      <c r="F37" s="111">
        <f aca="true" t="shared" si="2" ref="F37:F99">MIN(E37*$B$17,$B$20)</f>
        <v>37.789015681182946</v>
      </c>
      <c r="G37" s="111">
        <f aca="true" t="shared" si="3" ref="G37:G99">((F37*$I$8*$H$8)-(E37*$I$8*$H$8))/$B$14</f>
        <v>49.02854863092908</v>
      </c>
      <c r="H37" s="111">
        <f>IF($B$26="y",0,(MAX(0,IF($B$23="y",(LOOKUP(MAX(G37-$C$23*$D$23,0)+$L$37/2,$L$36:$L$43,$K$36:$K$43)),(LOOKUP(G37+$L$37/2,$L$36:$L$43,$K$36:$K$43))))))</f>
        <v>3</v>
      </c>
      <c r="I37" s="111">
        <f aca="true" t="shared" si="4" ref="I37:I99">LOOKUP(H37,$K$36:$K$43,$L$36:$L$43)</f>
        <v>43.3384771321253</v>
      </c>
      <c r="J37" s="111"/>
      <c r="K37" s="118">
        <v>1</v>
      </c>
      <c r="L37" s="118">
        <f>vs1</f>
        <v>14.575369347832464</v>
      </c>
      <c r="M37" s="118"/>
      <c r="N37" s="111"/>
      <c r="O37" s="111"/>
    </row>
    <row r="38" spans="1:15" ht="12.75">
      <c r="A38" s="111">
        <v>2</v>
      </c>
      <c r="B38" s="111">
        <v>0.27</v>
      </c>
      <c r="C38" s="111">
        <f>((((MIN((($F$8*EXP((((B38))/$C$17)*$G$8))*1000/1.12/$I$8*RI),$B$20)*$I$8*$H$8)-(MIN((($F$8*EXP((((B38))/$C$17)*$G$8))*1000/1.12/$I$8),$B$20)*$I$8*$H$8))*IF(NVTable_Data_Entry!$D$68=1,0.313,IF(NVTable_Data_Entry!$D$68=2,0.263,0.403))))/0.6</f>
        <v>15.813464746146833</v>
      </c>
      <c r="D38" s="111">
        <f t="shared" si="0"/>
        <v>0.003</v>
      </c>
      <c r="E38" s="111">
        <f t="shared" si="1"/>
        <v>17.801277810221062</v>
      </c>
      <c r="F38" s="111">
        <f t="shared" si="2"/>
        <v>38.940295209858576</v>
      </c>
      <c r="G38" s="111">
        <f t="shared" si="3"/>
        <v>50.52225158513365</v>
      </c>
      <c r="H38" s="111">
        <f aca="true" t="shared" si="5" ref="H38:H99">IF($B$26="y",$C$26,(MAX(0,IF($B$23="y",(LOOKUP(MAX(G38-$C$23*$D$23,0)+$L$37/2,$L$36:$L$43,$K$36:$K$43)),(LOOKUP(G38+$L$37/2,$L$36:$L$43,$K$36:$K$43))))))</f>
        <v>4</v>
      </c>
      <c r="I38" s="111">
        <f t="shared" si="4"/>
        <v>57.34773521845503</v>
      </c>
      <c r="J38" s="111"/>
      <c r="K38" s="118">
        <v>2</v>
      </c>
      <c r="L38" s="118">
        <f>vs2</f>
        <v>28.763107784292856</v>
      </c>
      <c r="M38" s="118"/>
      <c r="N38" s="111"/>
      <c r="O38" s="111"/>
    </row>
    <row r="39" spans="1:15" ht="12.75">
      <c r="A39" s="111">
        <v>3</v>
      </c>
      <c r="B39" s="111">
        <v>0.28</v>
      </c>
      <c r="C39" s="111">
        <f>((((MIN((($F$8*EXP((((B39))/$C$17)*$G$8))*1000/1.12/$I$8*RI),$B$20)*$I$8*$H$8)-(MIN((($F$8*EXP((((B39))/$C$17)*$G$8))*1000/1.12/$I$8),$B$20)*$I$8*$H$8))*IF(NVTable_Data_Entry!$D$68=1,0.313,IF(NVTable_Data_Entry!$D$68=2,0.263,0.403))))/0.6</f>
        <v>16.2952375023697</v>
      </c>
      <c r="D39" s="111">
        <f t="shared" si="0"/>
        <v>0.0031111111111111114</v>
      </c>
      <c r="E39" s="111">
        <f t="shared" si="1"/>
        <v>18.34361124647885</v>
      </c>
      <c r="F39" s="111">
        <f t="shared" si="2"/>
        <v>40.12664960167248</v>
      </c>
      <c r="G39" s="111">
        <f t="shared" si="3"/>
        <v>52.061461668912784</v>
      </c>
      <c r="H39" s="111">
        <f t="shared" si="5"/>
        <v>4</v>
      </c>
      <c r="I39" s="111">
        <f t="shared" si="4"/>
        <v>57.34773521845503</v>
      </c>
      <c r="J39" s="111"/>
      <c r="K39" s="118">
        <v>3</v>
      </c>
      <c r="L39" s="118">
        <f>vs3</f>
        <v>43.3384771321253</v>
      </c>
      <c r="M39" s="118"/>
      <c r="N39" s="111"/>
      <c r="O39" s="111"/>
    </row>
    <row r="40" spans="1:15" ht="12.75">
      <c r="A40" s="111">
        <v>4</v>
      </c>
      <c r="B40" s="111">
        <v>0.29</v>
      </c>
      <c r="C40" s="111">
        <f>((((MIN((($F$8*EXP((((B40))/$C$17)*$G$8))*1000/1.12/$I$8*RI),$B$20)*$I$8*$H$8)-(MIN((($F$8*EXP((((B40))/$C$17)*$G$8))*1000/1.12/$I$8),$B$20)*$I$8*$H$8))*IF(NVTable_Data_Entry!$D$68=1,0.313,IF(NVTable_Data_Entry!$D$68=2,0.263,0.403))))/0.6</f>
        <v>16.791687939440163</v>
      </c>
      <c r="D40" s="111">
        <f t="shared" si="0"/>
        <v>0.003222222222222222</v>
      </c>
      <c r="E40" s="111">
        <f t="shared" si="1"/>
        <v>18.90246740426364</v>
      </c>
      <c r="F40" s="111">
        <f t="shared" si="2"/>
        <v>41.34914744682671</v>
      </c>
      <c r="G40" s="111">
        <f t="shared" si="3"/>
        <v>53.647565301725756</v>
      </c>
      <c r="H40" s="111">
        <f t="shared" si="5"/>
        <v>4</v>
      </c>
      <c r="I40" s="111">
        <f t="shared" si="4"/>
        <v>57.34773521845503</v>
      </c>
      <c r="J40" s="111"/>
      <c r="K40" s="118">
        <v>4</v>
      </c>
      <c r="L40" s="118">
        <f>vs4</f>
        <v>57.34773521845503</v>
      </c>
      <c r="M40" s="118"/>
      <c r="N40" s="111"/>
      <c r="O40" s="111"/>
    </row>
    <row r="41" spans="1:15" ht="12.75">
      <c r="A41" s="111">
        <v>5</v>
      </c>
      <c r="B41" s="111">
        <v>0.3</v>
      </c>
      <c r="C41" s="111">
        <f>((((MIN((($F$8*EXP((((B41))/$C$17)*$G$8))*1000/1.12/$I$8*RI),$B$20)*$I$8*$H$8)-(MIN((($F$8*EXP((((B41))/$C$17)*$G$8))*1000/1.12/$I$8),$B$20)*$I$8*$H$8))*IF(NVTable_Data_Entry!$D$68=1,0.313,IF(NVTable_Data_Entry!$D$68=2,0.263,0.403))))/0.6</f>
        <v>17.30326322734091</v>
      </c>
      <c r="D41" s="111">
        <f t="shared" si="0"/>
        <v>0.003333333333333333</v>
      </c>
      <c r="E41" s="111">
        <f t="shared" si="1"/>
        <v>19.478349664537056</v>
      </c>
      <c r="F41" s="111">
        <f t="shared" si="2"/>
        <v>42.60888989117481</v>
      </c>
      <c r="G41" s="111">
        <f t="shared" si="3"/>
        <v>55.28199114166424</v>
      </c>
      <c r="H41" s="111">
        <f t="shared" si="5"/>
        <v>4</v>
      </c>
      <c r="I41" s="111">
        <f t="shared" si="4"/>
        <v>57.34773521845503</v>
      </c>
      <c r="J41" s="111"/>
      <c r="K41" s="118">
        <v>5</v>
      </c>
      <c r="L41" s="118">
        <f>vs5</f>
        <v>71.9231045662875</v>
      </c>
      <c r="M41" s="118"/>
      <c r="N41" s="111"/>
      <c r="O41" s="111"/>
    </row>
    <row r="42" spans="1:15" ht="12.75">
      <c r="A42" s="111">
        <v>6</v>
      </c>
      <c r="B42" s="111">
        <v>0.31</v>
      </c>
      <c r="C42" s="111">
        <f>((((MIN((($F$8*EXP((((B42))/$C$17)*$G$8))*1000/1.12/$I$8*RI),$B$20)*$I$8*$H$8)-(MIN((($F$8*EXP((((B42))/$C$17)*$G$8))*1000/1.12/$I$8),$B$20)*$I$8*$H$8))*IF(NVTable_Data_Entry!$D$68=1,0.313,IF(NVTable_Data_Entry!$D$68=2,0.263,0.403))))/0.6</f>
        <v>17.830424159527954</v>
      </c>
      <c r="D42" s="111">
        <f t="shared" si="0"/>
        <v>0.0034444444444444444</v>
      </c>
      <c r="E42" s="111">
        <f t="shared" si="1"/>
        <v>20.071776744256784</v>
      </c>
      <c r="F42" s="111">
        <f t="shared" si="2"/>
        <v>43.90701162806172</v>
      </c>
      <c r="G42" s="111">
        <f t="shared" si="3"/>
        <v>56.966211372293785</v>
      </c>
      <c r="H42" s="111">
        <f t="shared" si="5"/>
        <v>4</v>
      </c>
      <c r="I42" s="111">
        <f t="shared" si="4"/>
        <v>57.34773521845503</v>
      </c>
      <c r="J42" s="111"/>
      <c r="K42" s="118">
        <v>6</v>
      </c>
      <c r="L42" s="118">
        <f>vs6</f>
        <v>86.11084300274787</v>
      </c>
      <c r="M42" s="118"/>
      <c r="N42" s="111"/>
      <c r="O42" s="111"/>
    </row>
    <row r="43" spans="1:15" ht="12.75">
      <c r="A43" s="111">
        <v>7</v>
      </c>
      <c r="B43" s="111">
        <v>0.32</v>
      </c>
      <c r="C43" s="111">
        <f>((((MIN((($F$8*EXP((((B43))/$C$17)*$G$8))*1000/1.12/$I$8*RI),$B$20)*$I$8*$H$8)-(MIN((($F$8*EXP((((B43))/$C$17)*$G$8))*1000/1.12/$I$8),$B$20)*$I$8*$H$8))*IF(NVTable_Data_Entry!$D$68=1,0.313,IF(NVTable_Data_Entry!$D$68=2,0.263,0.403))))/0.6</f>
        <v>18.373645567983147</v>
      </c>
      <c r="D43" s="111">
        <f t="shared" si="0"/>
        <v>0.0035555555555555557</v>
      </c>
      <c r="E43" s="111">
        <f t="shared" si="1"/>
        <v>20.683283163602788</v>
      </c>
      <c r="F43" s="111">
        <f t="shared" si="2"/>
        <v>45.2446819203811</v>
      </c>
      <c r="G43" s="111">
        <f t="shared" si="3"/>
        <v>58.70174302870015</v>
      </c>
      <c r="H43" s="111">
        <f t="shared" si="5"/>
        <v>4</v>
      </c>
      <c r="I43" s="111">
        <f t="shared" si="4"/>
        <v>57.34773521845503</v>
      </c>
      <c r="J43" s="111"/>
      <c r="K43" s="118">
        <v>7</v>
      </c>
      <c r="L43" s="118">
        <f>vs7</f>
        <v>100.68621235058032</v>
      </c>
      <c r="M43" s="118"/>
      <c r="N43" s="111"/>
      <c r="O43" s="111"/>
    </row>
    <row r="44" spans="1:15" ht="12.75">
      <c r="A44" s="111">
        <v>8</v>
      </c>
      <c r="B44" s="111">
        <v>0.33</v>
      </c>
      <c r="C44" s="111">
        <f>((((MIN((($F$8*EXP((((B44))/$C$17)*$G$8))*1000/1.12/$I$8*RI),$B$20)*$I$8*$H$8)-(MIN((($F$8*EXP((((B44))/$C$17)*$G$8))*1000/1.12/$I$8),$B$20)*$I$8*$H$8))*IF(NVTable_Data_Entry!$D$68=1,0.313,IF(NVTable_Data_Entry!$D$68=2,0.263,0.403))))/0.6</f>
        <v>18.933416750911686</v>
      </c>
      <c r="D44" s="111">
        <f t="shared" si="0"/>
        <v>0.003666666666666667</v>
      </c>
      <c r="E44" s="111">
        <f t="shared" si="1"/>
        <v>21.313419727438045</v>
      </c>
      <c r="F44" s="111">
        <f t="shared" si="2"/>
        <v>46.62310565377072</v>
      </c>
      <c r="G44" s="111">
        <f t="shared" si="3"/>
        <v>60.490149363935096</v>
      </c>
      <c r="H44" s="111">
        <f t="shared" si="5"/>
        <v>4</v>
      </c>
      <c r="I44" s="111">
        <f t="shared" si="4"/>
        <v>57.34773521845503</v>
      </c>
      <c r="J44" s="111"/>
      <c r="K44" s="111"/>
      <c r="L44" s="119"/>
      <c r="M44" s="111"/>
      <c r="N44" s="111"/>
      <c r="O44" s="111"/>
    </row>
    <row r="45" spans="1:15" ht="12.75">
      <c r="A45" s="111">
        <v>9</v>
      </c>
      <c r="B45" s="111">
        <v>0.34</v>
      </c>
      <c r="C45" s="111">
        <f>((((MIN((($F$8*EXP((((B45))/$C$17)*$G$8))*1000/1.12/$I$8*RI),$B$20)*$I$8*$H$8)-(MIN((($F$8*EXP((((B45))/$C$17)*$G$8))*1000/1.12/$I$8),$B$20)*$I$8*$H$8))*IF(NVTable_Data_Entry!$D$68=1,0.313,IF(NVTable_Data_Entry!$D$68=2,0.263,0.403))))/0.6</f>
        <v>19.510241913469788</v>
      </c>
      <c r="D45" s="111">
        <f t="shared" si="0"/>
        <v>0.003777777777777778</v>
      </c>
      <c r="E45" s="111">
        <f t="shared" si="1"/>
        <v>21.96275402143738</v>
      </c>
      <c r="F45" s="111">
        <f t="shared" si="2"/>
        <v>48.04352442189427</v>
      </c>
      <c r="G45" s="111">
        <f t="shared" si="3"/>
        <v>62.33304125709196</v>
      </c>
      <c r="H45" s="111">
        <f t="shared" si="5"/>
        <v>4</v>
      </c>
      <c r="I45" s="111">
        <f t="shared" si="4"/>
        <v>57.34773521845503</v>
      </c>
      <c r="J45" s="111"/>
      <c r="K45" s="111"/>
      <c r="L45" s="119"/>
      <c r="M45" s="111"/>
      <c r="N45" s="111"/>
      <c r="O45" s="111"/>
    </row>
    <row r="46" spans="1:15" ht="12.75">
      <c r="A46" s="111">
        <v>10</v>
      </c>
      <c r="B46" s="111">
        <v>0.35</v>
      </c>
      <c r="C46" s="111">
        <f>((((MIN((($F$8*EXP((((B46))/$C$17)*$G$8))*1000/1.12/$I$8*RI),$B$20)*$I$8*$H$8)-(MIN((($F$8*EXP((((B46))/$C$17)*$G$8))*1000/1.12/$I$8),$B$20)*$I$8*$H$8))*IF(NVTable_Data_Entry!$D$68=1,0.313,IF(NVTable_Data_Entry!$D$68=2,0.263,0.403))))/0.6</f>
        <v>20.104640621919668</v>
      </c>
      <c r="D46" s="111">
        <f t="shared" si="0"/>
        <v>0.0038888888888888888</v>
      </c>
      <c r="E46" s="111">
        <f t="shared" si="1"/>
        <v>22.631870923331448</v>
      </c>
      <c r="F46" s="111">
        <f t="shared" si="2"/>
        <v>49.507217644787545</v>
      </c>
      <c r="G46" s="111">
        <f t="shared" si="3"/>
        <v>64.23207866428008</v>
      </c>
      <c r="H46" s="111">
        <f t="shared" si="5"/>
        <v>4</v>
      </c>
      <c r="I46" s="111">
        <f t="shared" si="4"/>
        <v>57.34773521845503</v>
      </c>
      <c r="J46" s="111"/>
      <c r="K46" s="111"/>
      <c r="L46" s="119"/>
      <c r="M46" s="111"/>
      <c r="N46" s="111"/>
      <c r="O46" s="111"/>
    </row>
    <row r="47" spans="1:15" ht="12.75">
      <c r="A47" s="111">
        <v>11</v>
      </c>
      <c r="B47" s="111">
        <v>0.36</v>
      </c>
      <c r="C47" s="111">
        <f>((((MIN((($F$8*EXP((((B47))/$C$17)*$G$8))*1000/1.12/$I$8*RI),$B$20)*$I$8*$H$8)-(MIN((($F$8*EXP((((B47))/$C$17)*$G$8))*1000/1.12/$I$8),$B$20)*$I$8*$H$8))*IF(NVTable_Data_Entry!$D$68=1,0.313,IF(NVTable_Data_Entry!$D$68=2,0.263,0.403))))/0.6</f>
        <v>20.717148271620683</v>
      </c>
      <c r="D47" s="111">
        <f t="shared" si="0"/>
        <v>0.004</v>
      </c>
      <c r="E47" s="111">
        <f t="shared" si="1"/>
        <v>23.321373129726172</v>
      </c>
      <c r="F47" s="111">
        <f t="shared" si="2"/>
        <v>51.015503721276005</v>
      </c>
      <c r="G47" s="111">
        <f t="shared" si="3"/>
        <v>66.18897211380411</v>
      </c>
      <c r="H47" s="111">
        <f t="shared" si="5"/>
        <v>5</v>
      </c>
      <c r="I47" s="111">
        <f t="shared" si="4"/>
        <v>71.9231045662875</v>
      </c>
      <c r="J47" s="111"/>
      <c r="K47" s="111"/>
      <c r="L47" s="119"/>
      <c r="M47" s="111"/>
      <c r="N47" s="111"/>
      <c r="O47" s="111"/>
    </row>
    <row r="48" spans="1:15" ht="12.75">
      <c r="A48" s="111">
        <v>12</v>
      </c>
      <c r="B48" s="111">
        <v>0.37</v>
      </c>
      <c r="C48" s="111">
        <f>((((MIN((($F$8*EXP((((B48))/$C$17)*$G$8))*1000/1.12/$I$8*RI),$B$20)*$I$8*$H$8)-(MIN((($F$8*EXP((((B48))/$C$17)*$G$8))*1000/1.12/$I$8),$B$20)*$I$8*$H$8))*IF(NVTable_Data_Entry!$D$68=1,0.313,IF(NVTable_Data_Entry!$D$68=2,0.263,0.403))))/0.6</f>
        <v>21.348316569278445</v>
      </c>
      <c r="D48" s="111">
        <f t="shared" si="0"/>
        <v>0.004111111111111111</v>
      </c>
      <c r="E48" s="111">
        <f t="shared" si="1"/>
        <v>24.03188169897238</v>
      </c>
      <c r="F48" s="111">
        <f t="shared" si="2"/>
        <v>52.56974121650208</v>
      </c>
      <c r="G48" s="111">
        <f t="shared" si="3"/>
        <v>68.20548424689599</v>
      </c>
      <c r="H48" s="111">
        <f t="shared" si="5"/>
        <v>5</v>
      </c>
      <c r="I48" s="111">
        <f t="shared" si="4"/>
        <v>71.9231045662875</v>
      </c>
      <c r="J48" s="111"/>
      <c r="L48" s="119"/>
      <c r="M48" s="111"/>
      <c r="N48" s="111"/>
      <c r="O48" s="111"/>
    </row>
    <row r="49" spans="1:15" ht="12.75">
      <c r="A49" s="111">
        <v>13</v>
      </c>
      <c r="B49" s="111">
        <v>0.38</v>
      </c>
      <c r="C49" s="111">
        <f>((((MIN((($F$8*EXP((((B49))/$C$17)*$G$8))*1000/1.12/$I$8*RI),$B$20)*$I$8*$H$8)-(MIN((($F$8*EXP((((B49))/$C$17)*$G$8))*1000/1.12/$I$8),$B$20)*$I$8*$H$8))*IF(NVTable_Data_Entry!$D$68=1,0.313,IF(NVTable_Data_Entry!$D$68=2,0.263,0.403))))/0.6</f>
        <v>21.998714029885914</v>
      </c>
      <c r="D49" s="111">
        <f t="shared" si="0"/>
        <v>0.004222222222222223</v>
      </c>
      <c r="E49" s="111">
        <f t="shared" si="1"/>
        <v>24.764036610574337</v>
      </c>
      <c r="F49" s="111">
        <f t="shared" si="2"/>
        <v>54.17133008563136</v>
      </c>
      <c r="G49" s="111">
        <f t="shared" si="3"/>
        <v>70.28343140538631</v>
      </c>
      <c r="H49" s="111">
        <f t="shared" si="5"/>
        <v>5</v>
      </c>
      <c r="I49" s="111">
        <f t="shared" si="4"/>
        <v>71.9231045662875</v>
      </c>
      <c r="J49" s="111"/>
      <c r="K49" s="111"/>
      <c r="L49" s="111"/>
      <c r="M49" s="119"/>
      <c r="N49" s="111"/>
      <c r="O49" s="111"/>
    </row>
    <row r="50" spans="1:15" ht="12.75">
      <c r="A50" s="111">
        <v>14</v>
      </c>
      <c r="B50" s="111">
        <v>0.39</v>
      </c>
      <c r="C50" s="111">
        <f>((((MIN((($F$8*EXP((((B50))/$C$17)*$G$8))*1000/1.12/$I$8*RI),$B$20)*$I$8*$H$8)-(MIN((($F$8*EXP((((B50))/$C$17)*$G$8))*1000/1.12/$I$8),$B$20)*$I$8*$H$8))*IF(NVTable_Data_Entry!$D$68=1,0.313,IF(NVTable_Data_Entry!$D$68=2,0.263,0.403))))/0.6</f>
        <v>22.668926488804455</v>
      </c>
      <c r="D50" s="111">
        <f t="shared" si="0"/>
        <v>0.004333333333333333</v>
      </c>
      <c r="E50" s="111">
        <f t="shared" si="1"/>
        <v>25.518497341641346</v>
      </c>
      <c r="F50" s="111">
        <f t="shared" si="2"/>
        <v>55.82171293484045</v>
      </c>
      <c r="G50" s="111">
        <f t="shared" si="3"/>
        <v>72.42468526774586</v>
      </c>
      <c r="H50" s="111">
        <f t="shared" si="5"/>
        <v>5</v>
      </c>
      <c r="I50" s="111">
        <f t="shared" si="4"/>
        <v>71.9231045662875</v>
      </c>
      <c r="J50" s="111"/>
      <c r="K50" s="111" t="s">
        <v>10</v>
      </c>
      <c r="L50" s="111"/>
      <c r="M50" s="111"/>
      <c r="N50" s="111"/>
      <c r="O50" s="111"/>
    </row>
    <row r="51" spans="1:15" ht="12.75">
      <c r="A51" s="111">
        <v>15</v>
      </c>
      <c r="B51" s="111">
        <v>0.4</v>
      </c>
      <c r="C51" s="111">
        <f>((((MIN((($F$8*EXP((((B51))/$C$17)*$G$8))*1000/1.12/$I$8*RI),$B$20)*$I$8*$H$8)-(MIN((($F$8*EXP((((B51))/$C$17)*$G$8))*1000/1.12/$I$8),$B$20)*$I$8*$H$8))*IF(NVTable_Data_Entry!$D$68=1,0.313,IF(NVTable_Data_Entry!$D$68=2,0.263,0.403))))/0.6</f>
        <v>23.35955762944591</v>
      </c>
      <c r="D51" s="111">
        <f t="shared" si="0"/>
        <v>0.0044444444444444444</v>
      </c>
      <c r="E51" s="111">
        <f t="shared" si="1"/>
        <v>26.29594346090146</v>
      </c>
      <c r="F51" s="111">
        <f t="shared" si="2"/>
        <v>57.52237632072194</v>
      </c>
      <c r="G51" s="111">
        <f t="shared" si="3"/>
        <v>74.63117453497095</v>
      </c>
      <c r="H51" s="111">
        <f t="shared" si="5"/>
        <v>5</v>
      </c>
      <c r="I51" s="111">
        <f t="shared" si="4"/>
        <v>71.9231045662875</v>
      </c>
      <c r="J51" s="111"/>
      <c r="K51" s="111"/>
      <c r="L51" s="111"/>
      <c r="M51" s="111"/>
      <c r="N51" s="111"/>
      <c r="O51" s="111"/>
    </row>
    <row r="52" spans="1:15" ht="12.75">
      <c r="A52" s="111">
        <v>16</v>
      </c>
      <c r="B52" s="111">
        <v>0.41</v>
      </c>
      <c r="C52" s="111">
        <f>((((MIN((($F$8*EXP((((B52))/$C$17)*$G$8))*1000/1.12/$I$8*RI),$B$20)*$I$8*$H$8)-(MIN((($F$8*EXP((((B52))/$C$17)*$G$8))*1000/1.12/$I$8),$B$20)*$I$8*$H$8))*IF(NVTable_Data_Entry!$D$68=1,0.313,IF(NVTable_Data_Entry!$D$68=2,0.263,0.403))))/0.6</f>
        <v>24.07122952703099</v>
      </c>
      <c r="D52" s="111">
        <f t="shared" si="0"/>
        <v>0.004555555555555555</v>
      </c>
      <c r="E52" s="111">
        <f t="shared" si="1"/>
        <v>27.09707524081237</v>
      </c>
      <c r="F52" s="111">
        <f t="shared" si="2"/>
        <v>59.27485208927706</v>
      </c>
      <c r="G52" s="111">
        <f t="shared" si="3"/>
        <v>76.90488666783064</v>
      </c>
      <c r="H52" s="111">
        <f t="shared" si="5"/>
        <v>5</v>
      </c>
      <c r="I52" s="111">
        <f t="shared" si="4"/>
        <v>71.9231045662875</v>
      </c>
      <c r="J52" s="111"/>
      <c r="K52" s="111"/>
      <c r="L52" s="111"/>
      <c r="M52" s="111"/>
      <c r="N52" s="111"/>
      <c r="O52" s="111"/>
    </row>
    <row r="53" spans="1:15" ht="12.75">
      <c r="A53" s="111">
        <v>17</v>
      </c>
      <c r="B53" s="111">
        <v>0.42</v>
      </c>
      <c r="C53" s="111">
        <f>((((MIN((($F$8*EXP((((B53))/$C$17)*$G$8))*1000/1.12/$I$8*RI),$B$20)*$I$8*$H$8)-(MIN((($F$8*EXP((((B53))/$C$17)*$G$8))*1000/1.12/$I$8),$B$20)*$I$8*$H$8))*IF(NVTable_Data_Entry!$D$68=1,0.313,IF(NVTable_Data_Entry!$D$68=2,0.263,0.403))))/0.6</f>
        <v>24.804583208913808</v>
      </c>
      <c r="D53" s="111">
        <f t="shared" si="0"/>
        <v>0.004666666666666666</v>
      </c>
      <c r="E53" s="111">
        <f t="shared" si="1"/>
        <v>27.922614288320954</v>
      </c>
      <c r="F53" s="111">
        <f t="shared" si="2"/>
        <v>61.08071875570209</v>
      </c>
      <c r="G53" s="111">
        <f t="shared" si="3"/>
        <v>79.24786967704092</v>
      </c>
      <c r="H53" s="111">
        <f t="shared" si="5"/>
        <v>6</v>
      </c>
      <c r="I53" s="111">
        <f t="shared" si="4"/>
        <v>86.11084300274787</v>
      </c>
      <c r="J53" s="111"/>
      <c r="K53" s="111"/>
      <c r="L53" s="111"/>
      <c r="M53" s="111"/>
      <c r="N53" s="111"/>
      <c r="O53" s="111"/>
    </row>
    <row r="54" spans="1:15" ht="12.75">
      <c r="A54" s="111">
        <v>18</v>
      </c>
      <c r="B54" s="111">
        <v>0.43</v>
      </c>
      <c r="C54" s="111">
        <f>((((MIN((($F$8*EXP((((B54))/$C$17)*$G$8))*1000/1.12/$I$8*RI),$B$20)*$I$8*$H$8)-(MIN((($F$8*EXP((((B54))/$C$17)*$G$8))*1000/1.12/$I$8),$B$20)*$I$8*$H$8))*IF(NVTable_Data_Entry!$D$68=1,0.313,IF(NVTable_Data_Entry!$D$68=2,0.263,0.403))))/0.6</f>
        <v>25.56027923197729</v>
      </c>
      <c r="D54" s="111">
        <f t="shared" si="0"/>
        <v>0.0047777777777777775</v>
      </c>
      <c r="E54" s="111">
        <f t="shared" si="1"/>
        <v>28.773304194839397</v>
      </c>
      <c r="F54" s="111">
        <f t="shared" si="2"/>
        <v>62.94160292621118</v>
      </c>
      <c r="G54" s="111">
        <f t="shared" si="3"/>
        <v>81.66223396797857</v>
      </c>
      <c r="H54" s="111">
        <f t="shared" si="5"/>
        <v>6</v>
      </c>
      <c r="I54" s="111">
        <f t="shared" si="4"/>
        <v>86.11084300274787</v>
      </c>
      <c r="J54" s="111"/>
      <c r="K54" s="111"/>
      <c r="L54" s="111"/>
      <c r="M54" s="111"/>
      <c r="N54" s="111"/>
      <c r="O54" s="111"/>
    </row>
    <row r="55" spans="1:15" ht="12.75">
      <c r="A55" s="111">
        <v>19</v>
      </c>
      <c r="B55" s="111">
        <v>0.44</v>
      </c>
      <c r="C55" s="111">
        <f>((((MIN((($F$8*EXP((((B55))/$C$17)*$G$8))*1000/1.12/$I$8*RI),$B$20)*$I$8*$H$8)-(MIN((($F$8*EXP((((B55))/$C$17)*$G$8))*1000/1.12/$I$8),$B$20)*$I$8*$H$8))*IF(NVTable_Data_Entry!$D$68=1,0.313,IF(NVTable_Data_Entry!$D$68=2,0.263,0.403))))/0.6</f>
        <v>26.33899827761947</v>
      </c>
      <c r="D55" s="111">
        <f t="shared" si="0"/>
        <v>0.004888888888888889</v>
      </c>
      <c r="E55" s="111">
        <f t="shared" si="1"/>
        <v>29.649911206023614</v>
      </c>
      <c r="F55" s="111">
        <f t="shared" si="2"/>
        <v>64.85918076317665</v>
      </c>
      <c r="G55" s="111">
        <f t="shared" si="3"/>
        <v>84.15015424159576</v>
      </c>
      <c r="H55" s="111">
        <f t="shared" si="5"/>
        <v>6</v>
      </c>
      <c r="I55" s="111">
        <f t="shared" si="4"/>
        <v>86.11084300274787</v>
      </c>
      <c r="J55" s="111"/>
      <c r="K55" s="111"/>
      <c r="L55" s="111"/>
      <c r="M55" s="111"/>
      <c r="N55" s="111"/>
      <c r="O55" s="111"/>
    </row>
    <row r="56" spans="1:15" ht="12.75">
      <c r="A56" s="111">
        <v>20</v>
      </c>
      <c r="B56" s="111">
        <v>0.45</v>
      </c>
      <c r="C56" s="111">
        <f>((((MIN((($F$8*EXP((((B56))/$C$17)*$G$8))*1000/1.12/$I$8*RI),$B$20)*$I$8*$H$8)-(MIN((($F$8*EXP((((B56))/$C$17)*$G$8))*1000/1.12/$I$8),$B$20)*$I$8*$H$8))*IF(NVTable_Data_Entry!$D$68=1,0.313,IF(NVTable_Data_Entry!$D$68=2,0.263,0.403))))/0.6</f>
        <v>27.14144176486664</v>
      </c>
      <c r="D56" s="111">
        <f t="shared" si="0"/>
        <v>0.005</v>
      </c>
      <c r="E56" s="111">
        <f t="shared" si="1"/>
        <v>30.553224911957027</v>
      </c>
      <c r="F56" s="111">
        <f t="shared" si="2"/>
        <v>66.835179494906</v>
      </c>
      <c r="G56" s="111">
        <f t="shared" si="3"/>
        <v>86.71387145324805</v>
      </c>
      <c r="H56" s="111">
        <f t="shared" si="5"/>
        <v>6</v>
      </c>
      <c r="I56" s="111">
        <f t="shared" si="4"/>
        <v>86.11084300274787</v>
      </c>
      <c r="J56" s="111"/>
      <c r="K56" s="111"/>
      <c r="L56" s="111"/>
      <c r="M56" s="111"/>
      <c r="N56" s="111"/>
      <c r="O56" s="111"/>
    </row>
    <row r="57" spans="1:15" ht="12.75">
      <c r="A57" s="111">
        <v>21</v>
      </c>
      <c r="B57" s="111">
        <v>0.46</v>
      </c>
      <c r="C57" s="111">
        <f>((((MIN((($F$8*EXP((((B57))/$C$17)*$G$8))*1000/1.12/$I$8*RI),$B$20)*$I$8*$H$8)-(MIN((($F$8*EXP((((B57))/$C$17)*$G$8))*1000/1.12/$I$8),$B$20)*$I$8*$H$8))*IF(NVTable_Data_Entry!$D$68=1,0.313,IF(NVTable_Data_Entry!$D$68=2,0.263,0.403))))/0.6</f>
        <v>27.968332482165525</v>
      </c>
      <c r="D57" s="111">
        <f t="shared" si="0"/>
        <v>0.005111111111111111</v>
      </c>
      <c r="E57" s="111">
        <f t="shared" si="1"/>
        <v>31.48405895836152</v>
      </c>
      <c r="F57" s="111">
        <f t="shared" si="2"/>
        <v>68.87137897141582</v>
      </c>
      <c r="G57" s="111">
        <f t="shared" si="3"/>
        <v>89.35569483119977</v>
      </c>
      <c r="H57" s="111">
        <f t="shared" si="5"/>
        <v>6</v>
      </c>
      <c r="I57" s="111">
        <f t="shared" si="4"/>
        <v>86.11084300274787</v>
      </c>
      <c r="J57" s="111"/>
      <c r="K57" s="111"/>
      <c r="L57" s="111"/>
      <c r="M57" s="111"/>
      <c r="N57" s="111"/>
      <c r="O57" s="111"/>
    </row>
    <row r="58" spans="1:15" ht="12.75">
      <c r="A58" s="111">
        <v>22</v>
      </c>
      <c r="B58" s="111">
        <v>0.47</v>
      </c>
      <c r="C58" s="111">
        <f>((((MIN((($F$8*EXP((((B58))/$C$17)*$G$8))*1000/1.12/$I$8*RI),$B$20)*$I$8*$H$8)-(MIN((($F$8*EXP((((B58))/$C$17)*$G$8))*1000/1.12/$I$8),$B$20)*$I$8*$H$8))*IF(NVTable_Data_Entry!$D$68=1,0.313,IF(NVTable_Data_Entry!$D$68=2,0.263,0.403))))/0.6</f>
        <v>28.820415238423845</v>
      </c>
      <c r="D58" s="111">
        <f t="shared" si="0"/>
        <v>0.005222222222222222</v>
      </c>
      <c r="E58" s="111">
        <f t="shared" si="1"/>
        <v>32.44325177947613</v>
      </c>
      <c r="F58" s="111">
        <f t="shared" si="2"/>
        <v>70.96961326760403</v>
      </c>
      <c r="G58" s="111">
        <f t="shared" si="3"/>
        <v>92.07800395662571</v>
      </c>
      <c r="H58" s="111">
        <f t="shared" si="5"/>
        <v>6</v>
      </c>
      <c r="I58" s="111">
        <f t="shared" si="4"/>
        <v>86.11084300274787</v>
      </c>
      <c r="J58" s="111"/>
      <c r="K58" s="111"/>
      <c r="L58" s="111"/>
      <c r="M58" s="111"/>
      <c r="N58" s="111"/>
      <c r="O58" s="111"/>
    </row>
    <row r="59" spans="1:15" ht="12.75">
      <c r="A59" s="111">
        <v>23</v>
      </c>
      <c r="B59" s="111">
        <v>0.48</v>
      </c>
      <c r="C59" s="111">
        <f>((((MIN((($F$8*EXP((((B59))/$C$17)*$G$8))*1000/1.12/$I$8*RI),$B$20)*$I$8*$H$8)-(MIN((($F$8*EXP((((B59))/$C$17)*$G$8))*1000/1.12/$I$8),$B$20)*$I$8*$H$8))*IF(NVTable_Data_Entry!$D$68=1,0.313,IF(NVTable_Data_Entry!$D$68=2,0.263,0.403))))/0.6</f>
        <v>29.698457533885154</v>
      </c>
      <c r="D59" s="111">
        <f t="shared" si="0"/>
        <v>0.005333333333333333</v>
      </c>
      <c r="E59" s="111">
        <f t="shared" si="1"/>
        <v>33.431667353263606</v>
      </c>
      <c r="F59" s="111">
        <f t="shared" si="2"/>
        <v>73.13177233526415</v>
      </c>
      <c r="G59" s="111">
        <f t="shared" si="3"/>
        <v>94.88325090698132</v>
      </c>
      <c r="H59" s="111">
        <f t="shared" si="5"/>
        <v>7</v>
      </c>
      <c r="I59" s="111">
        <f t="shared" si="4"/>
        <v>100.68621235058032</v>
      </c>
      <c r="J59" s="111"/>
      <c r="K59" s="111"/>
      <c r="L59" s="111"/>
      <c r="M59" s="111"/>
      <c r="N59" s="111"/>
      <c r="O59" s="111"/>
    </row>
    <row r="60" spans="1:15" ht="12.75">
      <c r="A60" s="111">
        <v>24</v>
      </c>
      <c r="B60" s="111">
        <v>0.49</v>
      </c>
      <c r="C60" s="111">
        <f>((((MIN((($F$8*EXP((((B60))/$C$17)*$G$8))*1000/1.12/$I$8*RI),$B$20)*$I$8*$H$8)-(MIN((($F$8*EXP((((B60))/$C$17)*$G$8))*1000/1.12/$I$8),$B$20)*$I$8*$H$8))*IF(NVTable_Data_Entry!$D$68=1,0.313,IF(NVTable_Data_Entry!$D$68=2,0.263,0.403))))/0.6</f>
        <v>30.603250251442745</v>
      </c>
      <c r="D60" s="111">
        <f t="shared" si="0"/>
        <v>0.0054444444444444445</v>
      </c>
      <c r="E60" s="111">
        <f t="shared" si="1"/>
        <v>34.450195979625036</v>
      </c>
      <c r="F60" s="111">
        <f t="shared" si="2"/>
        <v>75.35980370542977</v>
      </c>
      <c r="G60" s="111">
        <f t="shared" si="3"/>
        <v>97.7739624646733</v>
      </c>
      <c r="H60" s="111">
        <f t="shared" si="5"/>
        <v>7</v>
      </c>
      <c r="I60" s="111">
        <f t="shared" si="4"/>
        <v>100.68621235058032</v>
      </c>
      <c r="J60" s="111"/>
      <c r="K60" s="111"/>
      <c r="L60" s="111"/>
      <c r="M60" s="111"/>
      <c r="N60" s="111"/>
      <c r="O60" s="111"/>
    </row>
    <row r="61" spans="1:15" ht="12.75">
      <c r="A61" s="111">
        <v>25</v>
      </c>
      <c r="B61" s="111">
        <v>0.5</v>
      </c>
      <c r="C61" s="111">
        <f>((((MIN((($F$8*EXP((((B61))/$C$17)*$G$8))*1000/1.12/$I$8*RI),$B$20)*$I$8*$H$8)-(MIN((($F$8*EXP((((B61))/$C$17)*$G$8))*1000/1.12/$I$8),$B$20)*$I$8*$H$8))*IF(NVTable_Data_Entry!$D$68=1,0.313,IF(NVTable_Data_Entry!$D$68=2,0.263,0.403))))/0.6</f>
        <v>31.5356083690152</v>
      </c>
      <c r="D61" s="111">
        <f t="shared" si="0"/>
        <v>0.005555555555555556</v>
      </c>
      <c r="E61" s="111">
        <f t="shared" si="1"/>
        <v>35.49975508232364</v>
      </c>
      <c r="F61" s="111">
        <f t="shared" si="2"/>
        <v>77.65571424258296</v>
      </c>
      <c r="G61" s="111">
        <f t="shared" si="3"/>
        <v>100.75274239301982</v>
      </c>
      <c r="H61" s="111">
        <f t="shared" si="5"/>
        <v>7</v>
      </c>
      <c r="I61" s="111">
        <f t="shared" si="4"/>
        <v>100.68621235058032</v>
      </c>
      <c r="J61" s="111"/>
      <c r="K61" s="111"/>
      <c r="L61" s="111"/>
      <c r="M61" s="111"/>
      <c r="N61" s="111"/>
      <c r="O61" s="111"/>
    </row>
    <row r="62" spans="1:15" ht="12.75">
      <c r="A62" s="111">
        <v>26</v>
      </c>
      <c r="B62" s="111">
        <v>0.51</v>
      </c>
      <c r="C62" s="111">
        <f>((((MIN((($F$8*EXP((((B62))/$C$17)*$G$8))*1000/1.12/$I$8*RI),$B$20)*$I$8*$H$8)-(MIN((($F$8*EXP((((B62))/$C$17)*$G$8))*1000/1.12/$I$8),$B$20)*$I$8*$H$8))*IF(NVTable_Data_Entry!$D$68=1,0.313,IF(NVTable_Data_Entry!$D$68=2,0.263,0.403))))/0.6</f>
        <v>32.49637169362482</v>
      </c>
      <c r="D62" s="111">
        <f t="shared" si="0"/>
        <v>0.005666666666666667</v>
      </c>
      <c r="E62" s="111">
        <f t="shared" si="1"/>
        <v>36.58129003533987</v>
      </c>
      <c r="F62" s="111">
        <f t="shared" si="2"/>
        <v>80.02157195230596</v>
      </c>
      <c r="G62" s="111">
        <f t="shared" si="3"/>
        <v>103.82227378154897</v>
      </c>
      <c r="H62" s="111">
        <f t="shared" si="5"/>
        <v>7</v>
      </c>
      <c r="I62" s="111">
        <f t="shared" si="4"/>
        <v>100.68621235058032</v>
      </c>
      <c r="J62" s="111"/>
      <c r="K62" s="111"/>
      <c r="L62" s="111"/>
      <c r="M62" s="111"/>
      <c r="N62" s="111"/>
      <c r="O62" s="111"/>
    </row>
    <row r="63" spans="1:15" ht="12.75">
      <c r="A63" s="111">
        <v>27</v>
      </c>
      <c r="B63" s="111">
        <v>0.52</v>
      </c>
      <c r="C63" s="111">
        <f>((((MIN((($F$8*EXP((((B63))/$C$17)*$G$8))*1000/1.12/$I$8*RI),$B$20)*$I$8*$H$8)-(MIN((($F$8*EXP((((B63))/$C$17)*$G$8))*1000/1.12/$I$8),$B$20)*$I$8*$H$8))*IF(NVTable_Data_Entry!$D$68=1,0.313,IF(NVTable_Data_Entry!$D$68=2,0.263,0.403))))/0.6</f>
        <v>33.48640561784091</v>
      </c>
      <c r="D63" s="111">
        <f t="shared" si="0"/>
        <v>0.005777777777777778</v>
      </c>
      <c r="E63" s="111">
        <f t="shared" si="1"/>
        <v>37.695775014402294</v>
      </c>
      <c r="F63" s="111">
        <f t="shared" si="2"/>
        <v>82.45950784400502</v>
      </c>
      <c r="G63" s="111">
        <f t="shared" si="3"/>
        <v>106.98532146275052</v>
      </c>
      <c r="H63" s="111">
        <f t="shared" si="5"/>
        <v>7</v>
      </c>
      <c r="I63" s="111">
        <f t="shared" si="4"/>
        <v>100.68621235058032</v>
      </c>
      <c r="J63" s="111"/>
      <c r="K63" s="111"/>
      <c r="L63" s="111"/>
      <c r="M63" s="111"/>
      <c r="N63" s="111"/>
      <c r="O63" s="111"/>
    </row>
    <row r="64" spans="1:15" ht="12.75">
      <c r="A64" s="111">
        <v>28</v>
      </c>
      <c r="B64" s="111">
        <v>0.53</v>
      </c>
      <c r="C64" s="111">
        <f>((((MIN((($F$8*EXP((((B64))/$C$17)*$G$8))*1000/1.12/$I$8*RI),$B$20)*$I$8*$H$8)-(MIN((($F$8*EXP((((B64))/$C$17)*$G$8))*1000/1.12/$I$8),$B$20)*$I$8*$H$8))*IF(NVTable_Data_Entry!$D$68=1,0.313,IF(NVTable_Data_Entry!$D$68=2,0.263,0.403))))/0.6</f>
        <v>34.50660189926842</v>
      </c>
      <c r="D64" s="111">
        <f t="shared" si="0"/>
        <v>0.005888888888888889</v>
      </c>
      <c r="E64" s="111">
        <f t="shared" si="1"/>
        <v>38.84421387446113</v>
      </c>
      <c r="F64" s="111">
        <f t="shared" si="2"/>
        <v>84.97171785038373</v>
      </c>
      <c r="G64" s="111">
        <f t="shared" si="3"/>
        <v>110.244734502455</v>
      </c>
      <c r="H64" s="111">
        <f t="shared" si="5"/>
        <v>7</v>
      </c>
      <c r="I64" s="111">
        <f t="shared" si="4"/>
        <v>100.68621235058032</v>
      </c>
      <c r="J64" s="111"/>
      <c r="K64" s="111"/>
      <c r="L64" s="111"/>
      <c r="M64" s="111"/>
      <c r="N64" s="111"/>
      <c r="O64" s="111"/>
    </row>
    <row r="65" spans="1:15" ht="12.75">
      <c r="A65" s="111">
        <v>29</v>
      </c>
      <c r="B65" s="111">
        <v>0.54</v>
      </c>
      <c r="C65" s="111">
        <f>((((MIN((($F$8*EXP((((B65))/$C$17)*$G$8))*1000/1.12/$I$8*RI),$B$20)*$I$8*$H$8)-(MIN((($F$8*EXP((((B65))/$C$17)*$G$8))*1000/1.12/$I$8),$B$20)*$I$8*$H$8))*IF(NVTable_Data_Entry!$D$68=1,0.313,IF(NVTable_Data_Entry!$D$68=2,0.263,0.403))))/0.6</f>
        <v>35.23754131675714</v>
      </c>
      <c r="D65" s="111">
        <f t="shared" si="0"/>
        <v>0.006</v>
      </c>
      <c r="E65" s="111">
        <f t="shared" si="1"/>
        <v>40.02764105389502</v>
      </c>
      <c r="F65" s="111">
        <f t="shared" si="2"/>
        <v>87.13224532456105</v>
      </c>
      <c r="G65" s="111">
        <f t="shared" si="3"/>
        <v>112.58000420689181</v>
      </c>
      <c r="H65" s="111">
        <f t="shared" si="5"/>
        <v>7</v>
      </c>
      <c r="I65" s="111">
        <f t="shared" si="4"/>
        <v>100.68621235058032</v>
      </c>
      <c r="J65" s="111"/>
      <c r="K65" s="111"/>
      <c r="L65" s="111"/>
      <c r="M65" s="111"/>
      <c r="N65" s="111"/>
      <c r="O65" s="111"/>
    </row>
    <row r="66" spans="1:15" ht="12.75">
      <c r="A66" s="111">
        <v>30</v>
      </c>
      <c r="B66" s="111">
        <v>0.55</v>
      </c>
      <c r="C66" s="111">
        <f>((((MIN((($F$8*EXP((((B66))/$C$17)*$G$8))*1000/1.12/$I$8*RI),$B$20)*$I$8*$H$8)-(MIN((($F$8*EXP((((B66))/$C$17)*$G$8))*1000/1.12/$I$8),$B$20)*$I$8*$H$8))*IF(NVTable_Data_Entry!$D$68=1,0.313,IF(NVTable_Data_Entry!$D$68=2,0.263,0.403))))/0.6</f>
        <v>34.32528382668264</v>
      </c>
      <c r="D66" s="111">
        <f t="shared" si="0"/>
        <v>0.006111111111111111</v>
      </c>
      <c r="E66" s="111">
        <f t="shared" si="1"/>
        <v>41.247122506265114</v>
      </c>
      <c r="F66" s="111">
        <f t="shared" si="2"/>
        <v>87.13224532456105</v>
      </c>
      <c r="G66" s="111">
        <f t="shared" si="3"/>
        <v>109.66544353572729</v>
      </c>
      <c r="H66" s="111">
        <f t="shared" si="5"/>
        <v>7</v>
      </c>
      <c r="I66" s="111">
        <f t="shared" si="4"/>
        <v>100.68621235058032</v>
      </c>
      <c r="J66" s="111"/>
      <c r="K66" s="111"/>
      <c r="L66" s="111"/>
      <c r="M66" s="111"/>
      <c r="N66" s="111"/>
      <c r="O66" s="111"/>
    </row>
    <row r="67" spans="1:15" ht="12.75">
      <c r="A67" s="111">
        <v>31</v>
      </c>
      <c r="B67" s="111">
        <v>0.56</v>
      </c>
      <c r="C67" s="111">
        <f>((((MIN((($F$8*EXP((((B67))/$C$17)*$G$8))*1000/1.12/$I$8*RI),$B$20)*$I$8*$H$8)-(MIN((($F$8*EXP((((B67))/$C$17)*$G$8))*1000/1.12/$I$8),$B$20)*$I$8*$H$8))*IF(NVTable_Data_Entry!$D$68=1,0.313,IF(NVTable_Data_Entry!$D$68=2,0.263,0.403))))/0.6</f>
        <v>33.38523351495687</v>
      </c>
      <c r="D67" s="111">
        <f t="shared" si="0"/>
        <v>0.006222222222222223</v>
      </c>
      <c r="E67" s="111">
        <f t="shared" si="1"/>
        <v>42.503756660456254</v>
      </c>
      <c r="F67" s="111">
        <f t="shared" si="2"/>
        <v>87.13224532456105</v>
      </c>
      <c r="G67" s="111">
        <f t="shared" si="3"/>
        <v>106.66208790721045</v>
      </c>
      <c r="H67" s="111">
        <f t="shared" si="5"/>
        <v>7</v>
      </c>
      <c r="I67" s="111">
        <f t="shared" si="4"/>
        <v>100.68621235058032</v>
      </c>
      <c r="J67" s="111"/>
      <c r="K67" s="111"/>
      <c r="L67" s="111"/>
      <c r="M67" s="111"/>
      <c r="N67" s="111"/>
      <c r="O67" s="111"/>
    </row>
    <row r="68" spans="1:15" ht="12.75">
      <c r="A68" s="111">
        <v>32</v>
      </c>
      <c r="B68" s="111">
        <v>0.57</v>
      </c>
      <c r="C68" s="111">
        <f>((((MIN((($F$8*EXP((((B68))/$C$17)*$G$8))*1000/1.12/$I$8*RI),$B$20)*$I$8*$H$8)-(MIN((($F$8*EXP((((B68))/$C$17)*$G$8))*1000/1.12/$I$8),$B$20)*$I$8*$H$8))*IF(NVTable_Data_Entry!$D$68=1,0.313,IF(NVTable_Data_Entry!$D$68=2,0.263,0.403))))/0.6</f>
        <v>32.41654364593368</v>
      </c>
      <c r="D68" s="111">
        <f t="shared" si="0"/>
        <v>0.006333333333333333</v>
      </c>
      <c r="E68" s="111">
        <f t="shared" si="1"/>
        <v>43.79867541006952</v>
      </c>
      <c r="F68" s="111">
        <f t="shared" si="2"/>
        <v>87.13224532456105</v>
      </c>
      <c r="G68" s="111">
        <f t="shared" si="3"/>
        <v>103.56723209563475</v>
      </c>
      <c r="H68" s="111">
        <f t="shared" si="5"/>
        <v>7</v>
      </c>
      <c r="I68" s="111">
        <f t="shared" si="4"/>
        <v>100.68621235058032</v>
      </c>
      <c r="J68" s="111"/>
      <c r="K68" s="111"/>
      <c r="L68" s="111"/>
      <c r="M68" s="111"/>
      <c r="N68" s="111"/>
      <c r="O68" s="111"/>
    </row>
    <row r="69" spans="1:15" ht="12.75">
      <c r="A69" s="111">
        <v>33</v>
      </c>
      <c r="B69" s="111">
        <v>0.58</v>
      </c>
      <c r="C69" s="111">
        <f>((((MIN((($F$8*EXP((((B69))/$C$17)*$G$8))*1000/1.12/$I$8*RI),$B$20)*$I$8*$H$8)-(MIN((($F$8*EXP((((B69))/$C$17)*$G$8))*1000/1.12/$I$8),$B$20)*$I$8*$H$8))*IF(NVTable_Data_Entry!$D$68=1,0.313,IF(NVTable_Data_Entry!$D$68=2,0.263,0.403))))/0.6</f>
        <v>31.41834168733263</v>
      </c>
      <c r="D69" s="111">
        <f t="shared" si="0"/>
        <v>0.006444444444444444</v>
      </c>
      <c r="E69" s="111">
        <f t="shared" si="1"/>
        <v>45.13304513295782</v>
      </c>
      <c r="F69" s="111">
        <f t="shared" si="2"/>
        <v>87.13224532456105</v>
      </c>
      <c r="G69" s="111">
        <f t="shared" si="3"/>
        <v>100.37808845793172</v>
      </c>
      <c r="H69" s="111">
        <f t="shared" si="5"/>
        <v>7</v>
      </c>
      <c r="I69" s="111">
        <f t="shared" si="4"/>
        <v>100.68621235058032</v>
      </c>
      <c r="J69" s="111"/>
      <c r="K69" s="111"/>
      <c r="L69" s="111"/>
      <c r="M69" s="111"/>
      <c r="N69" s="111"/>
      <c r="O69" s="111"/>
    </row>
    <row r="70" spans="1:15" ht="12.75">
      <c r="A70" s="111">
        <v>34</v>
      </c>
      <c r="B70" s="111">
        <v>0.59</v>
      </c>
      <c r="C70" s="111">
        <f>((((MIN((($F$8*EXP((((B70))/$C$17)*$G$8))*1000/1.12/$I$8*RI),$B$20)*$I$8*$H$8)-(MIN((($F$8*EXP((((B70))/$C$17)*$G$8))*1000/1.12/$I$8),$B$20)*$I$8*$H$8))*IF(NVTable_Data_Entry!$D$68=1,0.313,IF(NVTable_Data_Entry!$D$68=2,0.263,0.403))))/0.6</f>
        <v>30.38972852431925</v>
      </c>
      <c r="D70" s="111">
        <f t="shared" si="0"/>
        <v>0.006555555555555555</v>
      </c>
      <c r="E70" s="111">
        <f t="shared" si="1"/>
        <v>46.50806774182247</v>
      </c>
      <c r="F70" s="111">
        <f t="shared" si="2"/>
        <v>87.13224532456105</v>
      </c>
      <c r="G70" s="111">
        <f t="shared" si="3"/>
        <v>97.0917844227452</v>
      </c>
      <c r="H70" s="111">
        <f t="shared" si="5"/>
        <v>7</v>
      </c>
      <c r="I70" s="111">
        <f t="shared" si="4"/>
        <v>100.68621235058032</v>
      </c>
      <c r="J70" s="111"/>
      <c r="K70" s="111"/>
      <c r="L70" s="111"/>
      <c r="M70" s="111"/>
      <c r="N70" s="111"/>
      <c r="O70" s="111"/>
    </row>
    <row r="71" spans="1:15" ht="12.75">
      <c r="A71" s="111">
        <v>35</v>
      </c>
      <c r="B71" s="111">
        <v>0.6</v>
      </c>
      <c r="C71" s="111">
        <f>((((MIN((($F$8*EXP((((B71))/$C$17)*$G$8))*1000/1.12/$I$8*RI),$B$20)*$I$8*$H$8)-(MIN((($F$8*EXP((((B71))/$C$17)*$G$8))*1000/1.12/$I$8),$B$20)*$I$8*$H$8))*IF(NVTable_Data_Entry!$D$68=1,0.313,IF(NVTable_Data_Entry!$D$68=2,0.263,0.403))))/0.6</f>
        <v>29.32977764964132</v>
      </c>
      <c r="D71" s="111">
        <f t="shared" si="0"/>
        <v>0.006666666666666666</v>
      </c>
      <c r="E71" s="111">
        <f t="shared" si="1"/>
        <v>47.92498176681736</v>
      </c>
      <c r="F71" s="111">
        <f t="shared" si="2"/>
        <v>87.13224532456105</v>
      </c>
      <c r="G71" s="111">
        <f t="shared" si="3"/>
        <v>93.7053599030074</v>
      </c>
      <c r="H71" s="111">
        <f t="shared" si="5"/>
        <v>7</v>
      </c>
      <c r="I71" s="111">
        <f t="shared" si="4"/>
        <v>100.68621235058032</v>
      </c>
      <c r="J71" s="111"/>
      <c r="K71" s="111"/>
      <c r="L71" s="111"/>
      <c r="M71" s="111"/>
      <c r="N71" s="111"/>
      <c r="O71" s="111"/>
    </row>
    <row r="72" spans="1:15" ht="12.75">
      <c r="A72" s="111">
        <v>36</v>
      </c>
      <c r="B72" s="111">
        <v>0.61</v>
      </c>
      <c r="C72" s="111">
        <f>((((MIN((($F$8*EXP((((B72))/$C$17)*$G$8))*1000/1.12/$I$8*RI),$B$20)*$I$8*$H$8)-(MIN((($F$8*EXP((((B72))/$C$17)*$G$8))*1000/1.12/$I$8),$B$20)*$I$8*$H$8))*IF(NVTable_Data_Entry!$D$68=1,0.313,IF(NVTable_Data_Entry!$D$68=2,0.263,0.403))))/0.6</f>
        <v>28.23753432909199</v>
      </c>
      <c r="D72" s="111">
        <f t="shared" si="0"/>
        <v>0.0067777777777777775</v>
      </c>
      <c r="E72" s="111">
        <f t="shared" si="1"/>
        <v>49.38506347113558</v>
      </c>
      <c r="F72" s="111">
        <f t="shared" si="2"/>
        <v>87.13224532456105</v>
      </c>
      <c r="G72" s="111">
        <f t="shared" si="3"/>
        <v>90.21576462968687</v>
      </c>
      <c r="H72" s="111">
        <f t="shared" si="5"/>
        <v>6</v>
      </c>
      <c r="I72" s="111">
        <f t="shared" si="4"/>
        <v>86.11084300274787</v>
      </c>
      <c r="J72" s="111"/>
      <c r="K72" s="111"/>
      <c r="L72" s="111"/>
      <c r="M72" s="111"/>
      <c r="N72" s="111"/>
      <c r="O72" s="111"/>
    </row>
    <row r="73" spans="1:15" ht="12.75">
      <c r="A73" s="111">
        <v>37</v>
      </c>
      <c r="B73" s="111">
        <v>0.62</v>
      </c>
      <c r="C73" s="111">
        <f>((((MIN((($F$8*EXP((((B73))/$C$17)*$G$8))*1000/1.12/$I$8*RI),$B$20)*$I$8*$H$8)-(MIN((($F$8*EXP((((B73))/$C$17)*$G$8))*1000/1.12/$I$8),$B$20)*$I$8*$H$8))*IF(NVTable_Data_Entry!$D$68=1,0.313,IF(NVTable_Data_Entry!$D$68=2,0.263,0.403))))/0.6</f>
        <v>27.112014741547764</v>
      </c>
      <c r="D73" s="111">
        <f t="shared" si="0"/>
        <v>0.006888888888888889</v>
      </c>
      <c r="E73" s="111">
        <f t="shared" si="1"/>
        <v>50.88962800058366</v>
      </c>
      <c r="F73" s="111">
        <f t="shared" si="2"/>
        <v>87.13224532456105</v>
      </c>
      <c r="G73" s="111">
        <f t="shared" si="3"/>
        <v>86.61985540430595</v>
      </c>
      <c r="H73" s="111">
        <f t="shared" si="5"/>
        <v>6</v>
      </c>
      <c r="I73" s="111">
        <f t="shared" si="4"/>
        <v>86.11084300274787</v>
      </c>
      <c r="J73" s="111"/>
      <c r="K73" s="111"/>
      <c r="L73" s="111"/>
      <c r="M73" s="111"/>
      <c r="N73" s="111"/>
      <c r="O73" s="111"/>
    </row>
    <row r="74" spans="1:15" ht="12.75">
      <c r="A74" s="111">
        <v>38</v>
      </c>
      <c r="B74" s="111">
        <v>0.63</v>
      </c>
      <c r="C74" s="111">
        <f>((((MIN((($F$8*EXP((((B74))/$C$17)*$G$8))*1000/1.12/$I$8*RI),$B$20)*$I$8*$H$8)-(MIN((($F$8*EXP((((B74))/$C$17)*$G$8))*1000/1.12/$I$8),$B$20)*$I$8*$H$8))*IF(NVTable_Data_Entry!$D$68=1,0.313,IF(NVTable_Data_Entry!$D$68=2,0.263,0.403))))/0.6</f>
        <v>25.95220509280703</v>
      </c>
      <c r="D74" s="111">
        <f t="shared" si="0"/>
        <v>0.007</v>
      </c>
      <c r="E74" s="111">
        <f t="shared" si="1"/>
        <v>52.440030568178585</v>
      </c>
      <c r="F74" s="111">
        <f t="shared" si="2"/>
        <v>87.13224532456105</v>
      </c>
      <c r="G74" s="111">
        <f t="shared" si="3"/>
        <v>82.9143932677541</v>
      </c>
      <c r="H74" s="111">
        <f t="shared" si="5"/>
        <v>6</v>
      </c>
      <c r="I74" s="111">
        <f t="shared" si="4"/>
        <v>86.11084300274787</v>
      </c>
      <c r="J74" s="111"/>
      <c r="K74" s="111"/>
      <c r="L74" s="111"/>
      <c r="M74" s="111"/>
      <c r="N74" s="111"/>
      <c r="O74" s="111"/>
    </row>
    <row r="75" spans="1:15" ht="12.75">
      <c r="A75" s="111">
        <v>39</v>
      </c>
      <c r="B75" s="111">
        <v>0.64</v>
      </c>
      <c r="C75" s="111">
        <f>((((MIN((($F$8*EXP((((B75))/$C$17)*$G$8))*1000/1.12/$I$8*RI),$B$20)*$I$8*$H$8)-(MIN((($F$8*EXP((((B75))/$C$17)*$G$8))*1000/1.12/$I$8),$B$20)*$I$8*$H$8))*IF(NVTable_Data_Entry!$D$68=1,0.313,IF(NVTable_Data_Entry!$D$68=2,0.263,0.403))))/0.6</f>
        <v>24.7570607024308</v>
      </c>
      <c r="D75" s="111">
        <f t="shared" si="0"/>
        <v>0.0071111111111111115</v>
      </c>
      <c r="E75" s="111">
        <f t="shared" si="1"/>
        <v>54.03766767483469</v>
      </c>
      <c r="F75" s="111">
        <f t="shared" si="2"/>
        <v>87.13224532456105</v>
      </c>
      <c r="G75" s="111">
        <f t="shared" si="3"/>
        <v>79.096040582846</v>
      </c>
      <c r="H75" s="111">
        <f t="shared" si="5"/>
        <v>6</v>
      </c>
      <c r="I75" s="111">
        <f t="shared" si="4"/>
        <v>86.11084300274787</v>
      </c>
      <c r="J75" s="111"/>
      <c r="K75" s="111"/>
      <c r="L75" s="111"/>
      <c r="M75" s="111"/>
      <c r="N75" s="111"/>
      <c r="O75" s="111"/>
    </row>
    <row r="76" spans="1:15" ht="12.75">
      <c r="A76" s="111">
        <v>40</v>
      </c>
      <c r="B76" s="111">
        <v>0.65</v>
      </c>
      <c r="C76" s="111">
        <f>((((MIN((($F$8*EXP((((B76))/$C$17)*$G$8))*1000/1.12/$I$8*RI),$B$20)*$I$8*$H$8)-(MIN((($F$8*EXP((((B76))/$C$17)*$G$8))*1000/1.12/$I$8),$B$20)*$I$8*$H$8))*IF(NVTable_Data_Entry!$D$68=1,0.313,IF(NVTable_Data_Entry!$D$68=2,0.263,0.403))))/0.6</f>
        <v>23.525505062762935</v>
      </c>
      <c r="D76" s="111">
        <f t="shared" si="0"/>
        <v>0.007222222222222223</v>
      </c>
      <c r="E76" s="111">
        <f t="shared" si="1"/>
        <v>55.6839783672403</v>
      </c>
      <c r="F76" s="111">
        <f t="shared" si="2"/>
        <v>87.13224532456105</v>
      </c>
      <c r="G76" s="111">
        <f t="shared" si="3"/>
        <v>75.1613580279966</v>
      </c>
      <c r="H76" s="111">
        <f t="shared" si="5"/>
        <v>5</v>
      </c>
      <c r="I76" s="111">
        <f t="shared" si="4"/>
        <v>71.9231045662875</v>
      </c>
      <c r="J76" s="111"/>
      <c r="K76" s="111"/>
      <c r="L76" s="111"/>
      <c r="M76" s="111"/>
      <c r="N76" s="111"/>
      <c r="O76" s="111"/>
    </row>
    <row r="77" spans="1:15" ht="12.75">
      <c r="A77" s="111">
        <v>41</v>
      </c>
      <c r="B77" s="111">
        <v>0.66</v>
      </c>
      <c r="C77" s="111">
        <f>((((MIN((($F$8*EXP((((B77))/$C$17)*$G$8))*1000/1.12/$I$8*RI),$B$20)*$I$8*$H$8)-(MIN((($F$8*EXP((((B77))/$C$17)*$G$8))*1000/1.12/$I$8),$B$20)*$I$8*$H$8))*IF(NVTable_Data_Entry!$D$68=1,0.313,IF(NVTable_Data_Entry!$D$68=2,0.263,0.403))))/0.6</f>
        <v>22.25642886928291</v>
      </c>
      <c r="D77" s="111">
        <f t="shared" si="0"/>
        <v>0.007333333333333334</v>
      </c>
      <c r="E77" s="111">
        <f t="shared" si="1"/>
        <v>57.38044553405627</v>
      </c>
      <c r="F77" s="111">
        <f t="shared" si="2"/>
        <v>87.13224532456105</v>
      </c>
      <c r="G77" s="111">
        <f t="shared" si="3"/>
        <v>71.10680149930643</v>
      </c>
      <c r="H77" s="111">
        <f t="shared" si="5"/>
        <v>5</v>
      </c>
      <c r="I77" s="111">
        <f t="shared" si="4"/>
        <v>71.9231045662875</v>
      </c>
      <c r="J77" s="111"/>
      <c r="K77" s="111"/>
      <c r="L77" s="111"/>
      <c r="M77" s="111"/>
      <c r="N77" s="111"/>
      <c r="O77" s="111"/>
    </row>
    <row r="78" spans="1:15" ht="12.75">
      <c r="A78" s="111">
        <v>42</v>
      </c>
      <c r="B78" s="111">
        <v>0.67</v>
      </c>
      <c r="C78" s="111">
        <f>((((MIN((($F$8*EXP((((B78))/$C$17)*$G$8))*1000/1.12/$I$8*RI),$B$20)*$I$8*$H$8)-(MIN((($F$8*EXP((((B78))/$C$17)*$G$8))*1000/1.12/$I$8),$B$20)*$I$8*$H$8))*IF(NVTable_Data_Entry!$D$68=1,0.313,IF(NVTable_Data_Entry!$D$68=2,0.263,0.403))))/0.6</f>
        <v>20.948689021416936</v>
      </c>
      <c r="D78" s="111">
        <f t="shared" si="0"/>
        <v>0.0074444444444444445</v>
      </c>
      <c r="E78" s="111">
        <f t="shared" si="1"/>
        <v>59.12859724160499</v>
      </c>
      <c r="F78" s="111">
        <f t="shared" si="2"/>
        <v>87.13224532456105</v>
      </c>
      <c r="G78" s="111">
        <f t="shared" si="3"/>
        <v>66.92871891826498</v>
      </c>
      <c r="H78" s="111">
        <f t="shared" si="5"/>
        <v>5</v>
      </c>
      <c r="I78" s="111">
        <f t="shared" si="4"/>
        <v>71.9231045662875</v>
      </c>
      <c r="J78" s="111"/>
      <c r="K78" s="111"/>
      <c r="L78" s="111"/>
      <c r="M78" s="111"/>
      <c r="N78" s="111"/>
      <c r="O78" s="111"/>
    </row>
    <row r="79" spans="1:15" ht="12.75">
      <c r="A79" s="111">
        <v>43</v>
      </c>
      <c r="B79" s="111">
        <v>0.68</v>
      </c>
      <c r="C79" s="111">
        <f>((((MIN((($F$8*EXP((((B79))/$C$17)*$G$8))*1000/1.12/$I$8*RI),$B$20)*$I$8*$H$8)-(MIN((($F$8*EXP((((B79))/$C$17)*$G$8))*1000/1.12/$I$8),$B$20)*$I$8*$H$8))*IF(NVTable_Data_Entry!$D$68=1,0.313,IF(NVTable_Data_Entry!$D$68=2,0.263,0.403))))/0.6</f>
        <v>19.601107592907955</v>
      </c>
      <c r="D79" s="111">
        <f t="shared" si="0"/>
        <v>0.007555555555555556</v>
      </c>
      <c r="E79" s="111">
        <f t="shared" si="1"/>
        <v>60.93000811025229</v>
      </c>
      <c r="F79" s="111">
        <f t="shared" si="2"/>
        <v>87.13224532456105</v>
      </c>
      <c r="G79" s="111">
        <f t="shared" si="3"/>
        <v>62.623346942197934</v>
      </c>
      <c r="H79" s="111">
        <f t="shared" si="5"/>
        <v>4</v>
      </c>
      <c r="I79" s="111">
        <f t="shared" si="4"/>
        <v>57.34773521845503</v>
      </c>
      <c r="J79" s="111"/>
      <c r="K79" s="111"/>
      <c r="L79" s="111"/>
      <c r="M79" s="111"/>
      <c r="N79" s="111"/>
      <c r="O79" s="111"/>
    </row>
    <row r="80" spans="1:15" ht="12.75">
      <c r="A80" s="111">
        <v>44</v>
      </c>
      <c r="B80" s="111">
        <v>0.69</v>
      </c>
      <c r="C80" s="111">
        <f>((((MIN((($F$8*EXP((((B80))/$C$17)*$G$8))*1000/1.12/$I$8*RI),$B$20)*$I$8*$H$8)-(MIN((($F$8*EXP((((B80))/$C$17)*$G$8))*1000/1.12/$I$8),$B$20)*$I$8*$H$8))*IF(NVTable_Data_Entry!$D$68=1,0.313,IF(NVTable_Data_Entry!$D$68=2,0.263,0.403))))/0.6</f>
        <v>18.21247077081702</v>
      </c>
      <c r="D80" s="111">
        <f t="shared" si="0"/>
        <v>0.007666666666666666</v>
      </c>
      <c r="E80" s="111">
        <f t="shared" si="1"/>
        <v>62.78630073272202</v>
      </c>
      <c r="F80" s="111">
        <f t="shared" si="2"/>
        <v>87.13224532456105</v>
      </c>
      <c r="G80" s="111">
        <f t="shared" si="3"/>
        <v>58.186807574495276</v>
      </c>
      <c r="H80" s="111">
        <f t="shared" si="5"/>
        <v>4</v>
      </c>
      <c r="I80" s="111">
        <f t="shared" si="4"/>
        <v>57.34773521845503</v>
      </c>
      <c r="J80" s="111"/>
      <c r="K80" s="111"/>
      <c r="L80" s="111"/>
      <c r="M80" s="111"/>
      <c r="N80" s="111"/>
      <c r="O80" s="111"/>
    </row>
    <row r="81" spans="1:15" ht="12.75">
      <c r="A81" s="111">
        <v>45</v>
      </c>
      <c r="B81" s="111">
        <v>0.7</v>
      </c>
      <c r="C81" s="111">
        <f>((((MIN((($F$8*EXP((((B81))/$C$17)*$G$8))*1000/1.12/$I$8*RI),$B$20)*$I$8*$H$8)-(MIN((($F$8*EXP((((B81))/$C$17)*$G$8))*1000/1.12/$I$8),$B$20)*$I$8*$H$8))*IF(NVTable_Data_Entry!$D$68=1,0.313,IF(NVTable_Data_Entry!$D$68=2,0.263,0.403))))/0.6</f>
        <v>16.78152776220014</v>
      </c>
      <c r="D81" s="111">
        <f t="shared" si="0"/>
        <v>0.0077777777777777776</v>
      </c>
      <c r="E81" s="111">
        <f t="shared" si="1"/>
        <v>64.69914713562132</v>
      </c>
      <c r="F81" s="111">
        <f t="shared" si="2"/>
        <v>87.13224532456105</v>
      </c>
      <c r="G81" s="111">
        <f t="shared" si="3"/>
        <v>53.615104671565945</v>
      </c>
      <c r="H81" s="111">
        <f t="shared" si="5"/>
        <v>4</v>
      </c>
      <c r="I81" s="111">
        <f t="shared" si="4"/>
        <v>57.34773521845503</v>
      </c>
      <c r="J81" s="111"/>
      <c r="K81" s="111"/>
      <c r="L81" s="111"/>
      <c r="M81" s="111"/>
      <c r="N81" s="111"/>
      <c r="O81" s="111"/>
    </row>
    <row r="82" spans="1:15" ht="12.75">
      <c r="A82" s="111">
        <v>46</v>
      </c>
      <c r="B82" s="111">
        <v>0.71</v>
      </c>
      <c r="C82" s="111">
        <f>((((MIN((($F$8*EXP((((B82))/$C$17)*$G$8))*1000/1.12/$I$8*RI),$B$20)*$I$8*$H$8)-(MIN((($F$8*EXP((((B82))/$C$17)*$G$8))*1000/1.12/$I$8),$B$20)*$I$8*$H$8))*IF(NVTable_Data_Entry!$D$68=1,0.313,IF(NVTable_Data_Entry!$D$68=2,0.263,0.403))))/0.6</f>
        <v>15.306989667476282</v>
      </c>
      <c r="D82" s="111">
        <f t="shared" si="0"/>
        <v>0.007888888888888888</v>
      </c>
      <c r="E82" s="111">
        <f t="shared" si="1"/>
        <v>66.67027028549214</v>
      </c>
      <c r="F82" s="111">
        <f t="shared" si="2"/>
        <v>87.13224532456105</v>
      </c>
      <c r="G82" s="111">
        <f t="shared" si="3"/>
        <v>48.90412034337471</v>
      </c>
      <c r="H82" s="111">
        <f t="shared" si="5"/>
        <v>3</v>
      </c>
      <c r="I82" s="111">
        <f t="shared" si="4"/>
        <v>43.3384771321253</v>
      </c>
      <c r="J82" s="111"/>
      <c r="K82" s="111"/>
      <c r="L82" s="111"/>
      <c r="M82" s="111"/>
      <c r="N82" s="111"/>
      <c r="O82" s="111"/>
    </row>
    <row r="83" spans="1:15" ht="12.75">
      <c r="A83" s="111">
        <v>47</v>
      </c>
      <c r="B83" s="111">
        <v>0.72</v>
      </c>
      <c r="C83" s="111">
        <f>((((MIN((($F$8*EXP((((B83))/$C$17)*$G$8))*1000/1.12/$I$8*RI),$B$20)*$I$8*$H$8)-(MIN((($F$8*EXP((((B83))/$C$17)*$G$8))*1000/1.12/$I$8),$B$20)*$I$8*$H$8))*IF(NVTable_Data_Entry!$D$68=1,0.313,IF(NVTable_Data_Entry!$D$68=2,0.263,0.403))))/0.6</f>
        <v>13.78752831947075</v>
      </c>
      <c r="D83" s="111">
        <f t="shared" si="0"/>
        <v>0.008</v>
      </c>
      <c r="E83" s="111">
        <f t="shared" si="1"/>
        <v>68.70144564074704</v>
      </c>
      <c r="F83" s="111">
        <f t="shared" si="2"/>
        <v>87.13224532456105</v>
      </c>
      <c r="G83" s="111">
        <f t="shared" si="3"/>
        <v>44.04961124431549</v>
      </c>
      <c r="H83" s="111">
        <f t="shared" si="5"/>
        <v>3</v>
      </c>
      <c r="I83" s="111">
        <f t="shared" si="4"/>
        <v>43.3384771321253</v>
      </c>
      <c r="J83" s="111"/>
      <c r="K83" s="111"/>
      <c r="L83" s="111"/>
      <c r="M83" s="111"/>
      <c r="N83" s="111"/>
      <c r="O83" s="111"/>
    </row>
    <row r="84" spans="1:15" ht="12.75">
      <c r="A84" s="111">
        <v>48</v>
      </c>
      <c r="B84" s="111">
        <v>0.73</v>
      </c>
      <c r="C84" s="111">
        <f>((((MIN((($F$8*EXP((((B84))/$C$17)*$G$8))*1000/1.12/$I$8*RI),$B$20)*$I$8*$H$8)-(MIN((($F$8*EXP((((B84))/$C$17)*$G$8))*1000/1.12/$I$8),$B$20)*$I$8*$H$8))*IF(NVTable_Data_Entry!$D$68=1,0.313,IF(NVTable_Data_Entry!$D$68=2,0.263,0.403))))/0.6</f>
        <v>12.221775087089865</v>
      </c>
      <c r="D84" s="111">
        <f t="shared" si="0"/>
        <v>0.00811111111111111</v>
      </c>
      <c r="E84" s="111">
        <f t="shared" si="1"/>
        <v>70.79450275088496</v>
      </c>
      <c r="F84" s="111">
        <f t="shared" si="2"/>
        <v>87.13224532456105</v>
      </c>
      <c r="G84" s="111">
        <f t="shared" si="3"/>
        <v>39.04720475108583</v>
      </c>
      <c r="H84" s="111">
        <f t="shared" si="5"/>
        <v>3</v>
      </c>
      <c r="I84" s="111">
        <f t="shared" si="4"/>
        <v>43.3384771321253</v>
      </c>
      <c r="J84" s="111"/>
      <c r="K84" s="111"/>
      <c r="L84" s="111"/>
      <c r="M84" s="111"/>
      <c r="N84" s="111"/>
      <c r="O84" s="111"/>
    </row>
    <row r="85" spans="1:15" ht="12.75">
      <c r="A85" s="111">
        <v>49</v>
      </c>
      <c r="B85" s="111">
        <v>0.74</v>
      </c>
      <c r="C85" s="111">
        <f>((((MIN((($F$8*EXP((((B85))/$C$17)*$G$8))*1000/1.12/$I$8*RI),$B$20)*$I$8*$H$8)-(MIN((($F$8*EXP((((B85))/$C$17)*$G$8))*1000/1.12/$I$8),$B$20)*$I$8*$H$8))*IF(NVTable_Data_Entry!$D$68=1,0.313,IF(NVTable_Data_Entry!$D$68=2,0.263,0.403))))/0.6</f>
        <v>10.608319642547489</v>
      </c>
      <c r="D85" s="111">
        <f t="shared" si="0"/>
        <v>0.008222222222222223</v>
      </c>
      <c r="E85" s="111">
        <f t="shared" si="1"/>
        <v>72.95132690442992</v>
      </c>
      <c r="F85" s="111">
        <f t="shared" si="2"/>
        <v>87.13224532456105</v>
      </c>
      <c r="G85" s="111">
        <f t="shared" si="3"/>
        <v>33.892395024113384</v>
      </c>
      <c r="H85" s="111">
        <f t="shared" si="5"/>
        <v>2</v>
      </c>
      <c r="I85" s="111">
        <f t="shared" si="4"/>
        <v>28.763107784292856</v>
      </c>
      <c r="J85" s="111"/>
      <c r="K85" s="111"/>
      <c r="L85" s="111"/>
      <c r="M85" s="111"/>
      <c r="N85" s="111"/>
      <c r="O85" s="111"/>
    </row>
    <row r="86" spans="1:15" ht="12.75">
      <c r="A86" s="111">
        <v>50</v>
      </c>
      <c r="B86" s="111">
        <v>0.75</v>
      </c>
      <c r="C86" s="111">
        <f>((((MIN((($F$8*EXP((((B86))/$C$17)*$G$8))*1000/1.12/$I$8*RI),$B$20)*$I$8*$H$8)-(MIN((($F$8*EXP((((B86))/$C$17)*$G$8))*1000/1.12/$I$8),$B$20)*$I$8*$H$8))*IF(NVTable_Data_Entry!$D$68=1,0.313,IF(NVTable_Data_Entry!$D$68=2,0.263,0.403))))/0.6</f>
        <v>8.945708691034415</v>
      </c>
      <c r="D86" s="111">
        <f t="shared" si="0"/>
        <v>0.008333333333333333</v>
      </c>
      <c r="E86" s="111">
        <f t="shared" si="1"/>
        <v>75.17386082707496</v>
      </c>
      <c r="F86" s="111">
        <f t="shared" si="2"/>
        <v>87.13224532456105</v>
      </c>
      <c r="G86" s="111">
        <f t="shared" si="3"/>
        <v>28.58053894899174</v>
      </c>
      <c r="H86" s="111">
        <f t="shared" si="5"/>
        <v>2</v>
      </c>
      <c r="I86" s="111">
        <f t="shared" si="4"/>
        <v>28.763107784292856</v>
      </c>
      <c r="J86" s="111"/>
      <c r="K86" s="111"/>
      <c r="L86" s="111"/>
      <c r="M86" s="111"/>
      <c r="N86" s="111"/>
      <c r="O86" s="111"/>
    </row>
    <row r="87" spans="1:15" ht="12.75">
      <c r="A87" s="111">
        <v>51</v>
      </c>
      <c r="B87" s="111">
        <v>0.76</v>
      </c>
      <c r="C87" s="111">
        <f>((((MIN((($F$8*EXP((((B87))/$C$17)*$G$8))*1000/1.12/$I$8*RI),$B$20)*$I$8*$H$8)-(MIN((($F$8*EXP((((B87))/$C$17)*$G$8))*1000/1.12/$I$8),$B$20)*$I$8*$H$8))*IF(NVTable_Data_Entry!$D$68=1,0.313,IF(NVTable_Data_Entry!$D$68=2,0.263,0.403))))/0.6</f>
        <v>7.232444661685772</v>
      </c>
      <c r="D87" s="111">
        <f t="shared" si="0"/>
        <v>0.008444444444444445</v>
      </c>
      <c r="E87" s="111">
        <f t="shared" si="1"/>
        <v>77.46410643156203</v>
      </c>
      <c r="F87" s="111">
        <f t="shared" si="2"/>
        <v>87.13224532456105</v>
      </c>
      <c r="G87" s="111">
        <f t="shared" si="3"/>
        <v>23.10685195426764</v>
      </c>
      <c r="H87" s="111">
        <f t="shared" si="5"/>
        <v>2</v>
      </c>
      <c r="I87" s="111">
        <f t="shared" si="4"/>
        <v>28.763107784292856</v>
      </c>
      <c r="J87" s="111"/>
      <c r="K87" s="111"/>
      <c r="L87" s="111"/>
      <c r="M87" s="111"/>
      <c r="N87" s="111"/>
      <c r="O87" s="111"/>
    </row>
    <row r="88" spans="1:15" ht="12.75">
      <c r="A88" s="111">
        <v>52</v>
      </c>
      <c r="B88" s="111">
        <v>0.77</v>
      </c>
      <c r="C88" s="111">
        <f>((((MIN((($F$8*EXP((((B88))/$C$17)*$G$8))*1000/1.12/$I$8*RI),$B$20)*$I$8*$H$8)-(MIN((($F$8*EXP((((B88))/$C$17)*$G$8))*1000/1.12/$I$8),$B$20)*$I$8*$H$8))*IF(NVTable_Data_Entry!$D$68=1,0.313,IF(NVTable_Data_Entry!$D$68=2,0.263,0.403))))/0.6</f>
        <v>5.466984358667377</v>
      </c>
      <c r="D88" s="111">
        <f t="shared" si="0"/>
        <v>0.008555555555555556</v>
      </c>
      <c r="E88" s="111">
        <f t="shared" si="1"/>
        <v>79.82412662087373</v>
      </c>
      <c r="F88" s="111">
        <f t="shared" si="2"/>
        <v>87.13224532456105</v>
      </c>
      <c r="G88" s="111">
        <f t="shared" si="3"/>
        <v>17.466403701812705</v>
      </c>
      <c r="H88" s="111">
        <f t="shared" si="5"/>
        <v>1</v>
      </c>
      <c r="I88" s="111">
        <f t="shared" si="4"/>
        <v>14.575369347832464</v>
      </c>
      <c r="J88" s="111"/>
      <c r="K88" s="111"/>
      <c r="L88" s="111"/>
      <c r="M88" s="111"/>
      <c r="N88" s="111"/>
      <c r="O88" s="111"/>
    </row>
    <row r="89" spans="1:15" ht="12.75">
      <c r="A89" s="111">
        <v>53</v>
      </c>
      <c r="B89" s="111">
        <v>0.78</v>
      </c>
      <c r="C89" s="111">
        <f>((((MIN((($F$8*EXP((((B89))/$C$17)*$G$8))*1000/1.12/$I$8*RI),$B$20)*$I$8*$H$8)-(MIN((($F$8*EXP((((B89))/$C$17)*$G$8))*1000/1.12/$I$8),$B$20)*$I$8*$H$8))*IF(NVTable_Data_Entry!$D$68=1,0.313,IF(NVTable_Data_Entry!$D$68=2,0.263,0.403))))/0.6</f>
        <v>3.6477375711662394</v>
      </c>
      <c r="D89" s="111">
        <f t="shared" si="0"/>
        <v>0.008666666666666666</v>
      </c>
      <c r="E89" s="111">
        <f t="shared" si="1"/>
        <v>82.25604714636081</v>
      </c>
      <c r="F89" s="111">
        <f t="shared" si="2"/>
        <v>87.13224532456105</v>
      </c>
      <c r="G89" s="111">
        <f t="shared" si="3"/>
        <v>11.65411364589853</v>
      </c>
      <c r="H89" s="111">
        <f t="shared" si="5"/>
        <v>1</v>
      </c>
      <c r="I89" s="111">
        <f t="shared" si="4"/>
        <v>14.575369347832464</v>
      </c>
      <c r="J89" s="111"/>
      <c r="K89" s="111"/>
      <c r="L89" s="111"/>
      <c r="M89" s="111"/>
      <c r="N89" s="111"/>
      <c r="O89" s="111"/>
    </row>
    <row r="90" spans="1:15" ht="12.75">
      <c r="A90" s="111">
        <v>54</v>
      </c>
      <c r="B90" s="111">
        <v>0.79</v>
      </c>
      <c r="C90" s="111">
        <f>((((MIN((($F$8*EXP((((B90))/$C$17)*$G$8))*1000/1.12/$I$8*RI),$B$20)*$I$8*$H$8)-(MIN((($F$8*EXP((((B90))/$C$17)*$G$8))*1000/1.12/$I$8),$B$20)*$I$8*$H$8))*IF(NVTable_Data_Entry!$D$68=1,0.313,IF(NVTable_Data_Entry!$D$68=2,0.263,0.403))))/0.6</f>
        <v>1.773065641032898</v>
      </c>
      <c r="D90" s="111">
        <f t="shared" si="0"/>
        <v>0.008777777777777778</v>
      </c>
      <c r="E90" s="111">
        <f t="shared" si="1"/>
        <v>84.76205852247982</v>
      </c>
      <c r="F90" s="111">
        <f t="shared" si="2"/>
        <v>87.13224532456105</v>
      </c>
      <c r="G90" s="111">
        <f t="shared" si="3"/>
        <v>5.664746456974115</v>
      </c>
      <c r="H90" s="111">
        <f t="shared" si="5"/>
        <v>0</v>
      </c>
      <c r="I90" s="111">
        <f t="shared" si="4"/>
        <v>0</v>
      </c>
      <c r="J90" s="111"/>
      <c r="K90" s="111"/>
      <c r="L90" s="111"/>
      <c r="M90" s="111"/>
      <c r="N90" s="111"/>
      <c r="O90" s="111"/>
    </row>
    <row r="91" spans="1:15" ht="12.75">
      <c r="A91" s="111">
        <v>55</v>
      </c>
      <c r="B91" s="111">
        <v>0.8</v>
      </c>
      <c r="C91" s="111">
        <f>((((MIN((($F$8*EXP((((B91))/$C$17)*$G$8))*1000/1.12/$I$8*RI),$B$20)*$I$8*$H$8)-(MIN((($F$8*EXP((((B91))/$C$17)*$G$8))*1000/1.12/$I$8),$B$20)*$I$8*$H$8))*IF(NVTable_Data_Entry!$D$68=1,0.313,IF(NVTable_Data_Entry!$D$68=2,0.263,0.403))))/0.6</f>
        <v>0</v>
      </c>
      <c r="D91" s="111">
        <f t="shared" si="0"/>
        <v>0.008888888888888889</v>
      </c>
      <c r="E91" s="111">
        <f t="shared" si="1"/>
        <v>87.13224532456105</v>
      </c>
      <c r="F91" s="111">
        <f t="shared" si="2"/>
        <v>87.13224532456105</v>
      </c>
      <c r="G91" s="111">
        <f t="shared" si="3"/>
        <v>0</v>
      </c>
      <c r="H91" s="111">
        <f t="shared" si="5"/>
        <v>0</v>
      </c>
      <c r="I91" s="111">
        <f t="shared" si="4"/>
        <v>0</v>
      </c>
      <c r="J91" s="111"/>
      <c r="K91" s="111"/>
      <c r="L91" s="111"/>
      <c r="M91" s="111"/>
      <c r="N91" s="111"/>
      <c r="O91" s="111"/>
    </row>
    <row r="92" spans="1:19" ht="12.75">
      <c r="A92" s="111">
        <v>56</v>
      </c>
      <c r="B92" s="111">
        <v>0.81</v>
      </c>
      <c r="C92" s="111">
        <f>((((MIN((($F$8*EXP((((B92))/$C$17)*$G$8))*1000/1.12/$I$8*RI),$B$20)*$I$8*$H$8)-(MIN((($F$8*EXP((((B92))/$C$17)*$G$8))*1000/1.12/$I$8),$B$20)*$I$8*$H$8))*IF(NVTable_Data_Entry!$D$68=1,0.313,IF(NVTable_Data_Entry!$D$68=2,0.263,0.403))))/0.6</f>
        <v>0</v>
      </c>
      <c r="D92" s="111">
        <f t="shared" si="0"/>
        <v>0.009000000000000001</v>
      </c>
      <c r="E92" s="111">
        <f t="shared" si="1"/>
        <v>87.13224532456105</v>
      </c>
      <c r="F92" s="111">
        <f t="shared" si="2"/>
        <v>87.13224532456105</v>
      </c>
      <c r="G92" s="111">
        <f t="shared" si="3"/>
        <v>0</v>
      </c>
      <c r="H92" s="111">
        <f t="shared" si="5"/>
        <v>0</v>
      </c>
      <c r="I92" s="111">
        <f t="shared" si="4"/>
        <v>0</v>
      </c>
      <c r="J92" s="111"/>
      <c r="K92" s="111"/>
      <c r="L92" s="111"/>
      <c r="M92" s="111"/>
      <c r="N92" s="111"/>
      <c r="O92" s="111"/>
      <c r="S92" s="124"/>
    </row>
    <row r="93" spans="1:19" ht="12.75">
      <c r="A93" s="111">
        <v>57</v>
      </c>
      <c r="B93" s="111">
        <v>0.820000000000001</v>
      </c>
      <c r="C93" s="111">
        <f>((((MIN((($F$8*EXP((((B93))/$C$17)*$G$8))*1000/1.12/$I$8*RI),$B$20)*$I$8*$H$8)-(MIN((($F$8*EXP((((B93))/$C$17)*$G$8))*1000/1.12/$I$8),$B$20)*$I$8*$H$8))*IF(NVTable_Data_Entry!$D$68=1,0.313,IF(NVTable_Data_Entry!$D$68=2,0.263,0.403))))/0.6</f>
        <v>0</v>
      </c>
      <c r="D93" s="111">
        <f t="shared" si="0"/>
        <v>0.009111111111111122</v>
      </c>
      <c r="E93" s="111">
        <f t="shared" si="1"/>
        <v>87.13224532456105</v>
      </c>
      <c r="F93" s="111">
        <f t="shared" si="2"/>
        <v>87.13224532456105</v>
      </c>
      <c r="G93" s="111">
        <f t="shared" si="3"/>
        <v>0</v>
      </c>
      <c r="H93" s="111">
        <f t="shared" si="5"/>
        <v>0</v>
      </c>
      <c r="I93" s="111">
        <f t="shared" si="4"/>
        <v>0</v>
      </c>
      <c r="J93" s="111"/>
      <c r="K93" s="111"/>
      <c r="L93" s="111"/>
      <c r="M93" s="111"/>
      <c r="N93" s="111"/>
      <c r="O93" s="111"/>
      <c r="S93" s="124"/>
    </row>
    <row r="94" spans="1:19" ht="12.75">
      <c r="A94" s="111">
        <v>58</v>
      </c>
      <c r="B94" s="111">
        <v>0.830000000000001</v>
      </c>
      <c r="C94" s="111">
        <f>((((MIN((($F$8*EXP((((B94))/$C$17)*$G$8))*1000/1.12/$I$8*RI),$B$20)*$I$8*$H$8)-(MIN((($F$8*EXP((((B94))/$C$17)*$G$8))*1000/1.12/$I$8),$B$20)*$I$8*$H$8))*IF(NVTable_Data_Entry!$D$68=1,0.313,IF(NVTable_Data_Entry!$D$68=2,0.263,0.403))))/0.6</f>
        <v>0</v>
      </c>
      <c r="D94" s="111">
        <f t="shared" si="0"/>
        <v>0.009222222222222232</v>
      </c>
      <c r="E94" s="111">
        <f t="shared" si="1"/>
        <v>87.13224532456105</v>
      </c>
      <c r="F94" s="111">
        <f t="shared" si="2"/>
        <v>87.13224532456105</v>
      </c>
      <c r="G94" s="111">
        <f t="shared" si="3"/>
        <v>0</v>
      </c>
      <c r="H94" s="111">
        <f t="shared" si="5"/>
        <v>0</v>
      </c>
      <c r="I94" s="111">
        <f t="shared" si="4"/>
        <v>0</v>
      </c>
      <c r="J94" s="111"/>
      <c r="K94" s="111"/>
      <c r="L94" s="111"/>
      <c r="M94" s="111"/>
      <c r="N94" s="111"/>
      <c r="O94" s="111"/>
      <c r="S94" s="124"/>
    </row>
    <row r="95" spans="1:19" ht="12.75">
      <c r="A95" s="111">
        <v>59</v>
      </c>
      <c r="B95" s="111">
        <v>0.840000000000001</v>
      </c>
      <c r="C95" s="111">
        <f>((((MIN((($F$8*EXP((((B95))/$C$17)*$G$8))*1000/1.12/$I$8*RI),$B$20)*$I$8*$H$8)-(MIN((($F$8*EXP((((B95))/$C$17)*$G$8))*1000/1.12/$I$8),$B$20)*$I$8*$H$8))*IF(NVTable_Data_Entry!$D$68=1,0.313,IF(NVTable_Data_Entry!$D$68=2,0.263,0.403))))/0.6</f>
        <v>0</v>
      </c>
      <c r="D95" s="111">
        <f t="shared" si="0"/>
        <v>0.009333333333333345</v>
      </c>
      <c r="E95" s="111">
        <f t="shared" si="1"/>
        <v>87.13224532456105</v>
      </c>
      <c r="F95" s="111">
        <f t="shared" si="2"/>
        <v>87.13224532456105</v>
      </c>
      <c r="G95" s="111">
        <f t="shared" si="3"/>
        <v>0</v>
      </c>
      <c r="H95" s="111">
        <f t="shared" si="5"/>
        <v>0</v>
      </c>
      <c r="I95" s="111">
        <f t="shared" si="4"/>
        <v>0</v>
      </c>
      <c r="J95" s="111"/>
      <c r="K95" s="111"/>
      <c r="L95" s="111"/>
      <c r="M95" s="111"/>
      <c r="N95" s="111"/>
      <c r="O95" s="111"/>
      <c r="S95" s="124"/>
    </row>
    <row r="96" spans="1:19" ht="12.75">
      <c r="A96" s="111">
        <v>60</v>
      </c>
      <c r="B96" s="111">
        <v>0.850000000000001</v>
      </c>
      <c r="C96" s="111">
        <f>((((MIN((($F$8*EXP((((B96))/$C$17)*$G$8))*1000/1.12/$I$8*RI),$B$20)*$I$8*$H$8)-(MIN((($F$8*EXP((((B96))/$C$17)*$G$8))*1000/1.12/$I$8),$B$20)*$I$8*$H$8))*IF(NVTable_Data_Entry!$D$68=1,0.313,IF(NVTable_Data_Entry!$D$68=2,0.263,0.403))))/0.6</f>
        <v>0</v>
      </c>
      <c r="D96" s="111">
        <f t="shared" si="0"/>
        <v>0.009444444444444455</v>
      </c>
      <c r="E96" s="111">
        <f t="shared" si="1"/>
        <v>87.13224532456105</v>
      </c>
      <c r="F96" s="111">
        <f t="shared" si="2"/>
        <v>87.13224532456105</v>
      </c>
      <c r="G96" s="111">
        <f t="shared" si="3"/>
        <v>0</v>
      </c>
      <c r="H96" s="111">
        <f t="shared" si="5"/>
        <v>0</v>
      </c>
      <c r="I96" s="111">
        <f t="shared" si="4"/>
        <v>0</v>
      </c>
      <c r="J96" s="111"/>
      <c r="K96" s="111"/>
      <c r="L96" s="111"/>
      <c r="M96" s="111"/>
      <c r="N96" s="111"/>
      <c r="O96" s="111"/>
      <c r="S96" s="124"/>
    </row>
    <row r="97" spans="1:19" ht="12.75">
      <c r="A97" s="111">
        <v>61</v>
      </c>
      <c r="B97" s="111">
        <v>0.860000000000001</v>
      </c>
      <c r="C97" s="111">
        <f>((((MIN((($F$8*EXP((((B97))/$C$17)*$G$8))*1000/1.12/$I$8*RI),$B$20)*$I$8*$H$8)-(MIN((($F$8*EXP((((B97))/$C$17)*$G$8))*1000/1.12/$I$8),$B$20)*$I$8*$H$8))*IF(NVTable_Data_Entry!$D$68=1,0.313,IF(NVTable_Data_Entry!$D$68=2,0.263,0.403))))/0.6</f>
        <v>0</v>
      </c>
      <c r="D97" s="111">
        <f t="shared" si="0"/>
        <v>0.009555555555555567</v>
      </c>
      <c r="E97" s="111">
        <f t="shared" si="1"/>
        <v>87.13224532456105</v>
      </c>
      <c r="F97" s="111">
        <f t="shared" si="2"/>
        <v>87.13224532456105</v>
      </c>
      <c r="G97" s="111">
        <f t="shared" si="3"/>
        <v>0</v>
      </c>
      <c r="H97" s="111">
        <f t="shared" si="5"/>
        <v>0</v>
      </c>
      <c r="I97" s="111">
        <f t="shared" si="4"/>
        <v>0</v>
      </c>
      <c r="J97" s="111"/>
      <c r="K97" s="111"/>
      <c r="L97" s="111"/>
      <c r="M97" s="111"/>
      <c r="N97" s="111"/>
      <c r="O97" s="111"/>
      <c r="S97" s="124"/>
    </row>
    <row r="98" spans="1:15" ht="12.75">
      <c r="A98" s="111">
        <v>62</v>
      </c>
      <c r="B98" s="111">
        <v>0.870000000000001</v>
      </c>
      <c r="C98" s="111">
        <f>((((MIN((($F$8*EXP((((B98))/$C$17)*$G$8))*1000/1.12/$I$8*RI),$B$20)*$I$8*$H$8)-(MIN((($F$8*EXP((((B98))/$C$17)*$G$8))*1000/1.12/$I$8),$B$20)*$I$8*$H$8))*IF(NVTable_Data_Entry!$D$68=1,0.313,IF(NVTable_Data_Entry!$D$68=2,0.263,0.403))))/0.6</f>
        <v>0</v>
      </c>
      <c r="D98" s="111">
        <f t="shared" si="0"/>
        <v>0.009666666666666678</v>
      </c>
      <c r="E98" s="111">
        <f t="shared" si="1"/>
        <v>87.13224532456105</v>
      </c>
      <c r="F98" s="111">
        <f t="shared" si="2"/>
        <v>87.13224532456105</v>
      </c>
      <c r="G98" s="111">
        <f t="shared" si="3"/>
        <v>0</v>
      </c>
      <c r="H98" s="111">
        <f t="shared" si="5"/>
        <v>0</v>
      </c>
      <c r="I98" s="111">
        <f t="shared" si="4"/>
        <v>0</v>
      </c>
      <c r="J98" s="111"/>
      <c r="K98" s="111"/>
      <c r="L98" s="111"/>
      <c r="M98" s="111"/>
      <c r="N98" s="111"/>
      <c r="O98" s="111"/>
    </row>
    <row r="99" spans="1:15" ht="13.5" thickBot="1">
      <c r="A99" s="120">
        <v>63</v>
      </c>
      <c r="B99" s="120">
        <v>0.880000000000001</v>
      </c>
      <c r="C99" s="120">
        <f>((((MIN((($F$8*EXP((((B99))/$C$17)*$G$8))*1000/1.12/$I$8*RI),$B$20)*$I$8*$H$8)-(MIN((($F$8*EXP((((B99))/$C$17)*$G$8))*1000/1.12/$I$8),$B$20)*$I$8*$H$8))*IF(NVTable_Data_Entry!$D$68=1,0.313,IF(NVTable_Data_Entry!$D$68=2,0.263,0.403))))/0.6</f>
        <v>0</v>
      </c>
      <c r="D99" s="120">
        <f t="shared" si="0"/>
        <v>0.00977777777777779</v>
      </c>
      <c r="E99" s="120">
        <f t="shared" si="1"/>
        <v>87.13224532456105</v>
      </c>
      <c r="F99" s="120">
        <f t="shared" si="2"/>
        <v>87.13224532456105</v>
      </c>
      <c r="G99" s="120">
        <f t="shared" si="3"/>
        <v>0</v>
      </c>
      <c r="H99" s="111">
        <f t="shared" si="5"/>
        <v>0</v>
      </c>
      <c r="I99" s="120">
        <f t="shared" si="4"/>
        <v>0</v>
      </c>
      <c r="J99" s="111"/>
      <c r="K99" s="111"/>
      <c r="L99" s="111"/>
      <c r="M99" s="111"/>
      <c r="N99" s="111"/>
      <c r="O99" s="111"/>
    </row>
    <row r="100" spans="8:9" ht="12.75">
      <c r="H100" s="88"/>
      <c r="I100" s="88"/>
    </row>
    <row r="101" spans="8:9" ht="12.75">
      <c r="H101" s="88"/>
      <c r="I101" s="88"/>
    </row>
    <row r="102" spans="1:9" ht="12.75">
      <c r="A102" s="121" t="s">
        <v>43</v>
      </c>
      <c r="B102" s="121"/>
      <c r="C102" s="121"/>
      <c r="H102" s="88"/>
      <c r="I102" s="88"/>
    </row>
    <row r="103" spans="1:9" ht="12.75">
      <c r="A103" s="122" t="s">
        <v>33</v>
      </c>
      <c r="B103" s="122" t="s">
        <v>45</v>
      </c>
      <c r="C103" s="122" t="s">
        <v>44</v>
      </c>
      <c r="D103" s="123" t="s">
        <v>46</v>
      </c>
      <c r="H103" s="88"/>
      <c r="I103" s="88"/>
    </row>
    <row r="104" spans="1:9" ht="12.75">
      <c r="A104" s="121">
        <v>1</v>
      </c>
      <c r="B104" s="31">
        <v>0.5656</v>
      </c>
      <c r="C104" s="31" t="s">
        <v>12</v>
      </c>
      <c r="D104" s="88">
        <v>2</v>
      </c>
      <c r="H104" s="88"/>
      <c r="I104" s="88"/>
    </row>
    <row r="105" spans="1:9" ht="12.75">
      <c r="A105" s="121">
        <v>2</v>
      </c>
      <c r="B105" s="31">
        <v>0.701</v>
      </c>
      <c r="C105" s="31" t="s">
        <v>51</v>
      </c>
      <c r="H105" s="88"/>
      <c r="I105" s="88"/>
    </row>
    <row r="106" spans="8:9" ht="12.75">
      <c r="H106" s="88"/>
      <c r="I106" s="88"/>
    </row>
    <row r="107" spans="8:9" ht="12.75">
      <c r="H107" s="88"/>
      <c r="I107" s="88"/>
    </row>
    <row r="108" spans="6:9" ht="12.75">
      <c r="F108" s="111"/>
      <c r="H108" s="88"/>
      <c r="I108" s="88"/>
    </row>
    <row r="109" spans="1:9" ht="12.75">
      <c r="A109" s="111">
        <v>21.672685937728367</v>
      </c>
      <c r="B109" s="88">
        <f>A109/2.2*2.47</f>
        <v>24.332515575540484</v>
      </c>
      <c r="F109" s="111"/>
      <c r="H109" s="88"/>
      <c r="I109" s="88"/>
    </row>
    <row r="110" spans="1:9" ht="12.75">
      <c r="A110" s="111">
        <v>22.38727585228911</v>
      </c>
      <c r="B110" s="88">
        <f aca="true" t="shared" si="6" ref="B110:B172">A110/2.2*2.47</f>
        <v>25.134805161433686</v>
      </c>
      <c r="F110" s="111"/>
      <c r="H110" s="88"/>
      <c r="I110" s="88"/>
    </row>
    <row r="111" spans="1:9" ht="12.75">
      <c r="A111" s="111">
        <v>23.12542716332187</v>
      </c>
      <c r="B111" s="88">
        <f t="shared" si="6"/>
        <v>25.963547769729555</v>
      </c>
      <c r="F111" s="111"/>
      <c r="H111" s="88"/>
      <c r="I111" s="88"/>
    </row>
    <row r="112" spans="1:9" ht="12.75">
      <c r="A112" s="111">
        <v>23.88791673514056</v>
      </c>
      <c r="B112" s="88">
        <f t="shared" si="6"/>
        <v>26.819615607180538</v>
      </c>
      <c r="F112" s="111"/>
      <c r="H112" s="88"/>
      <c r="I112" s="88"/>
    </row>
    <row r="113" spans="1:9" ht="12.75">
      <c r="A113" s="111">
        <v>24.675547046761608</v>
      </c>
      <c r="B113" s="88">
        <f t="shared" si="6"/>
        <v>27.703909638864168</v>
      </c>
      <c r="F113" s="111"/>
      <c r="H113" s="88"/>
      <c r="I113" s="88"/>
    </row>
    <row r="114" spans="1:9" ht="12.75">
      <c r="A114" s="111">
        <v>25.48914703646985</v>
      </c>
      <c r="B114" s="88">
        <f t="shared" si="6"/>
        <v>28.61736053640024</v>
      </c>
      <c r="F114" s="111"/>
      <c r="H114" s="88"/>
      <c r="I114" s="88"/>
    </row>
    <row r="115" spans="1:9" ht="12.75">
      <c r="A115" s="111">
        <v>26.32957297423096</v>
      </c>
      <c r="B115" s="88">
        <f t="shared" si="6"/>
        <v>29.56092965743203</v>
      </c>
      <c r="F115" s="111"/>
      <c r="H115" s="88"/>
      <c r="I115" s="88"/>
    </row>
    <row r="116" spans="1:9" ht="12.75">
      <c r="A116" s="111">
        <v>27.197709362869507</v>
      </c>
      <c r="B116" s="88">
        <f t="shared" si="6"/>
        <v>30.535610057403492</v>
      </c>
      <c r="F116" s="111"/>
      <c r="H116" s="88"/>
      <c r="I116" s="88"/>
    </row>
    <row r="117" spans="1:9" ht="12.75">
      <c r="A117" s="111">
        <v>28.094469868960182</v>
      </c>
      <c r="B117" s="88">
        <f t="shared" si="6"/>
        <v>31.542427534696206</v>
      </c>
      <c r="F117" s="111"/>
      <c r="H117" s="88"/>
      <c r="I117" s="88"/>
    </row>
    <row r="118" spans="1:9" ht="12.75">
      <c r="A118" s="111">
        <v>29.020798284412397</v>
      </c>
      <c r="B118" s="88">
        <f t="shared" si="6"/>
        <v>32.58244171022665</v>
      </c>
      <c r="F118" s="111"/>
      <c r="H118" s="88"/>
      <c r="I118" s="88"/>
    </row>
    <row r="119" spans="1:9" ht="12.75">
      <c r="A119" s="111">
        <v>29.977669519760397</v>
      </c>
      <c r="B119" s="88">
        <f t="shared" si="6"/>
        <v>33.65674714264008</v>
      </c>
      <c r="F119" s="111"/>
      <c r="H119" s="88"/>
      <c r="I119" s="88"/>
    </row>
    <row r="120" spans="1:9" ht="12.75">
      <c r="A120" s="111">
        <v>30.966090630203595</v>
      </c>
      <c r="B120" s="88">
        <f t="shared" si="6"/>
        <v>34.766474480274034</v>
      </c>
      <c r="F120" s="111"/>
      <c r="H120" s="88"/>
      <c r="I120" s="88"/>
    </row>
    <row r="121" spans="1:9" ht="12.75">
      <c r="A121" s="111">
        <v>31.98710187547785</v>
      </c>
      <c r="B121" s="88">
        <f t="shared" si="6"/>
        <v>35.912791651104676</v>
      </c>
      <c r="F121" s="111"/>
      <c r="H121" s="88"/>
      <c r="I121" s="88"/>
    </row>
    <row r="122" spans="1:9" ht="12.75">
      <c r="A122" s="111">
        <v>33.041777814672486</v>
      </c>
      <c r="B122" s="88">
        <f t="shared" si="6"/>
        <v>37.096905091927745</v>
      </c>
      <c r="F122" s="111"/>
      <c r="H122" s="88"/>
      <c r="I122" s="88"/>
    </row>
    <row r="123" spans="1:9" ht="12.75">
      <c r="A123" s="111">
        <v>34.13122843714561</v>
      </c>
      <c r="B123" s="88">
        <f t="shared" si="6"/>
        <v>38.320061018068024</v>
      </c>
      <c r="F123" s="111"/>
      <c r="H123" s="88"/>
      <c r="I123" s="88"/>
    </row>
    <row r="124" spans="1:9" ht="12.75">
      <c r="A124" s="111">
        <v>35.25660033072778</v>
      </c>
      <c r="B124" s="88">
        <f t="shared" si="6"/>
        <v>39.58354673495346</v>
      </c>
      <c r="F124" s="111"/>
      <c r="H124" s="88"/>
      <c r="I124" s="88"/>
    </row>
    <row r="125" spans="1:9" ht="12.75">
      <c r="A125" s="111">
        <v>36.41907788844383</v>
      </c>
      <c r="B125" s="88">
        <f t="shared" si="6"/>
        <v>40.88869199293466</v>
      </c>
      <c r="F125" s="111"/>
      <c r="H125" s="88"/>
      <c r="I125" s="88"/>
    </row>
    <row r="126" spans="1:9" ht="12.75">
      <c r="A126" s="111">
        <v>37.61988455502225</v>
      </c>
      <c r="B126" s="88">
        <f t="shared" si="6"/>
        <v>42.23687038677498</v>
      </c>
      <c r="F126" s="111"/>
      <c r="H126" s="88"/>
      <c r="I126" s="88"/>
    </row>
    <row r="127" spans="1:9" ht="12.75">
      <c r="A127" s="111">
        <v>38.86028411450467</v>
      </c>
      <c r="B127" s="88">
        <f t="shared" si="6"/>
        <v>43.62950080128479</v>
      </c>
      <c r="F127" s="111"/>
      <c r="H127" s="88"/>
      <c r="I127" s="88"/>
    </row>
    <row r="128" spans="1:9" ht="12.75">
      <c r="A128" s="111">
        <v>40.141582020310125</v>
      </c>
      <c r="B128" s="88">
        <f t="shared" si="6"/>
        <v>45.06804890462091</v>
      </c>
      <c r="F128" s="111"/>
      <c r="H128" s="88"/>
      <c r="I128" s="88"/>
    </row>
    <row r="129" spans="1:9" ht="12.75">
      <c r="A129" s="111">
        <v>41.46512676915421</v>
      </c>
      <c r="B129" s="88">
        <f t="shared" si="6"/>
        <v>46.55402869082314</v>
      </c>
      <c r="F129" s="111"/>
      <c r="H129" s="88"/>
      <c r="I129" s="88"/>
    </row>
    <row r="130" spans="1:9" ht="12.75">
      <c r="A130" s="111">
        <v>42.8323113202688</v>
      </c>
      <c r="B130" s="88">
        <f t="shared" si="6"/>
        <v>48.08900407321088</v>
      </c>
      <c r="F130" s="111"/>
      <c r="H130" s="88"/>
      <c r="I130" s="88"/>
    </row>
    <row r="131" spans="1:9" ht="12.75">
      <c r="A131" s="111">
        <v>44.244574561416414</v>
      </c>
      <c r="B131" s="88">
        <f t="shared" si="6"/>
        <v>49.67459053031752</v>
      </c>
      <c r="F131" s="111"/>
      <c r="H131" s="88"/>
      <c r="I131" s="88"/>
    </row>
    <row r="132" spans="1:9" ht="12.75">
      <c r="A132" s="111">
        <v>45.70340282324158</v>
      </c>
      <c r="B132" s="88">
        <f t="shared" si="6"/>
        <v>51.31245680609396</v>
      </c>
      <c r="F132" s="111"/>
      <c r="H132" s="88"/>
      <c r="I132" s="88"/>
    </row>
    <row r="133" spans="1:9" ht="12.75">
      <c r="A133" s="111">
        <v>47.21033144355359</v>
      </c>
      <c r="B133" s="88">
        <f t="shared" si="6"/>
        <v>53.00432666617153</v>
      </c>
      <c r="F133" s="111"/>
      <c r="H133" s="88"/>
      <c r="I133" s="88"/>
    </row>
    <row r="134" spans="1:9" ht="12.75">
      <c r="A134" s="111">
        <v>48.76694638318621</v>
      </c>
      <c r="B134" s="88">
        <f t="shared" si="6"/>
        <v>54.75198071203179</v>
      </c>
      <c r="F134" s="111"/>
      <c r="H134" s="88"/>
      <c r="I134" s="88"/>
    </row>
    <row r="135" spans="1:9" ht="12.75">
      <c r="A135" s="111">
        <v>50.374885895135925</v>
      </c>
      <c r="B135" s="88">
        <f t="shared" si="6"/>
        <v>56.55725825499352</v>
      </c>
      <c r="F135" s="111"/>
      <c r="H135" s="88"/>
      <c r="I135" s="88"/>
    </row>
    <row r="136" spans="1:9" ht="12.75">
      <c r="A136" s="111">
        <v>52.035842248734326</v>
      </c>
      <c r="B136" s="88">
        <f t="shared" si="6"/>
        <v>58.42205925198808</v>
      </c>
      <c r="F136" s="111"/>
      <c r="H136" s="88"/>
      <c r="I136" s="88"/>
    </row>
    <row r="137" spans="1:9" ht="12.75">
      <c r="A137" s="111">
        <v>53.751563510670245</v>
      </c>
      <c r="B137" s="88">
        <f t="shared" si="6"/>
        <v>60.34834630516159</v>
      </c>
      <c r="F137" s="111"/>
      <c r="H137" s="88"/>
      <c r="I137" s="88"/>
    </row>
    <row r="138" spans="1:9" ht="12.75">
      <c r="A138" s="111">
        <v>55.523855384735185</v>
      </c>
      <c r="B138" s="88">
        <f t="shared" si="6"/>
        <v>62.33814672740723</v>
      </c>
      <c r="F138" s="111"/>
      <c r="H138" s="88"/>
      <c r="I138" s="88"/>
    </row>
    <row r="139" spans="1:9" ht="12.75">
      <c r="A139" s="111">
        <v>57.35458311222885</v>
      </c>
      <c r="B139" s="88">
        <f t="shared" si="6"/>
        <v>64.3935546760024</v>
      </c>
      <c r="F139" s="111"/>
      <c r="H139" s="88"/>
      <c r="I139" s="88"/>
    </row>
    <row r="140" spans="1:9" ht="12.75">
      <c r="A140" s="111">
        <v>59.245673435024884</v>
      </c>
      <c r="B140" s="88">
        <f t="shared" si="6"/>
        <v>66.51673335659612</v>
      </c>
      <c r="F140" s="111"/>
      <c r="H140" s="88"/>
      <c r="I140" s="88"/>
    </row>
    <row r="141" spans="1:9" ht="12.75">
      <c r="A141" s="111">
        <v>61.19911662336214</v>
      </c>
      <c r="B141" s="88">
        <f t="shared" si="6"/>
        <v>68.70991729986567</v>
      </c>
      <c r="F141" s="111"/>
      <c r="H141" s="88"/>
      <c r="I141" s="88"/>
    </row>
    <row r="142" spans="1:9" ht="12.75">
      <c r="A142" s="111">
        <v>58.97544588978126</v>
      </c>
      <c r="B142" s="88">
        <f t="shared" si="6"/>
        <v>66.21334152170897</v>
      </c>
      <c r="F142" s="111"/>
      <c r="H142" s="88"/>
      <c r="I142" s="88"/>
    </row>
    <row r="143" spans="1:9" ht="12.75">
      <c r="A143" s="111">
        <v>56.21231807346067</v>
      </c>
      <c r="B143" s="88">
        <f t="shared" si="6"/>
        <v>63.111102564294484</v>
      </c>
      <c r="F143" s="111"/>
      <c r="H143" s="88"/>
      <c r="I143" s="88"/>
    </row>
    <row r="144" spans="1:9" ht="12.75">
      <c r="A144" s="111">
        <v>53.35808464725591</v>
      </c>
      <c r="B144" s="88">
        <f t="shared" si="6"/>
        <v>59.90657685396459</v>
      </c>
      <c r="F144" s="111"/>
      <c r="H144" s="88"/>
      <c r="I144" s="88"/>
    </row>
    <row r="145" spans="1:9" ht="12.75">
      <c r="A145" s="111">
        <v>50.40974168492684</v>
      </c>
      <c r="B145" s="88">
        <f t="shared" si="6"/>
        <v>56.596391800804234</v>
      </c>
      <c r="F145" s="111"/>
      <c r="H145" s="88"/>
      <c r="I145" s="88"/>
    </row>
    <row r="146" spans="1:9" ht="12.75">
      <c r="A146" s="111">
        <v>47.364186215038686</v>
      </c>
      <c r="B146" s="88">
        <f t="shared" si="6"/>
        <v>53.17706361415707</v>
      </c>
      <c r="F146" s="111"/>
      <c r="H146" s="88"/>
      <c r="I146" s="88"/>
    </row>
    <row r="147" spans="1:9" ht="12.75">
      <c r="A147" s="111">
        <v>44.21821295525265</v>
      </c>
      <c r="B147" s="88">
        <f t="shared" si="6"/>
        <v>49.64499363612457</v>
      </c>
      <c r="F147" s="111"/>
      <c r="H147" s="88"/>
      <c r="I147" s="88"/>
    </row>
    <row r="148" spans="1:9" ht="12.75">
      <c r="A148" s="111">
        <v>40.968510938939616</v>
      </c>
      <c r="B148" s="88">
        <f t="shared" si="6"/>
        <v>45.996464554173116</v>
      </c>
      <c r="F148" s="111"/>
      <c r="H148" s="88"/>
      <c r="I148" s="88"/>
    </row>
    <row r="149" spans="1:9" ht="12.75">
      <c r="A149" s="111">
        <v>37.611660030566895</v>
      </c>
      <c r="B149" s="88">
        <f t="shared" si="6"/>
        <v>42.227636488863745</v>
      </c>
      <c r="F149" s="111"/>
      <c r="H149" s="88"/>
      <c r="I149" s="88"/>
    </row>
    <row r="150" spans="1:9" ht="12.75">
      <c r="A150" s="111">
        <v>34.1441273261907</v>
      </c>
      <c r="B150" s="88">
        <f t="shared" si="6"/>
        <v>38.33454295258683</v>
      </c>
      <c r="F150" s="111"/>
      <c r="H150" s="88"/>
      <c r="I150" s="88"/>
    </row>
    <row r="151" spans="1:9" ht="12.75">
      <c r="A151" s="111">
        <v>30.562263435265844</v>
      </c>
      <c r="B151" s="88">
        <f t="shared" si="6"/>
        <v>34.313086675048474</v>
      </c>
      <c r="F151" s="111"/>
      <c r="H151" s="88"/>
      <c r="I151" s="88"/>
    </row>
    <row r="152" spans="1:9" ht="12.75">
      <c r="A152" s="111">
        <v>26.862298639859716</v>
      </c>
      <c r="B152" s="88">
        <f t="shared" si="6"/>
        <v>30.159035291115227</v>
      </c>
      <c r="F152" s="111"/>
      <c r="H152" s="88"/>
      <c r="I152" s="88"/>
    </row>
    <row r="153" spans="1:9" ht="12.75">
      <c r="A153" s="111">
        <v>23.040338927228134</v>
      </c>
      <c r="B153" s="88">
        <f t="shared" si="6"/>
        <v>25.86801688647886</v>
      </c>
      <c r="F153" s="111"/>
      <c r="H153" s="88"/>
      <c r="I153" s="88"/>
    </row>
    <row r="154" spans="1:9" ht="12.75">
      <c r="A154" s="111">
        <v>19.09236189157755</v>
      </c>
      <c r="B154" s="88">
        <f t="shared" si="6"/>
        <v>21.435515396452978</v>
      </c>
      <c r="F154" s="111"/>
      <c r="H154" s="88"/>
      <c r="I154" s="88"/>
    </row>
    <row r="155" spans="1:9" ht="12.75">
      <c r="A155" s="111">
        <v>15.014212500700665</v>
      </c>
      <c r="B155" s="88">
        <f t="shared" si="6"/>
        <v>16.856865853059382</v>
      </c>
      <c r="F155" s="111"/>
      <c r="H155" s="88"/>
      <c r="I155" s="88"/>
    </row>
    <row r="156" spans="1:9" ht="12.75">
      <c r="A156" s="111">
        <v>10.80159872302988</v>
      </c>
      <c r="B156" s="88">
        <f t="shared" si="6"/>
        <v>12.12724947540173</v>
      </c>
      <c r="F156" s="111"/>
      <c r="H156" s="88"/>
      <c r="I156" s="88"/>
    </row>
    <row r="157" spans="1:9" ht="12.75">
      <c r="A157" s="111">
        <v>6.450087010506399</v>
      </c>
      <c r="B157" s="88">
        <f t="shared" si="6"/>
        <v>7.241688598159458</v>
      </c>
      <c r="F157" s="111"/>
      <c r="H157" s="88"/>
      <c r="I157" s="88"/>
    </row>
    <row r="158" spans="1:9" ht="12.75">
      <c r="A158" s="111">
        <v>1.9550976325103875</v>
      </c>
      <c r="B158" s="88">
        <f t="shared" si="6"/>
        <v>2.195041432863935</v>
      </c>
      <c r="F158" s="111"/>
      <c r="H158" s="88"/>
      <c r="I158" s="88"/>
    </row>
    <row r="159" spans="1:9" ht="12.75">
      <c r="A159" s="111">
        <v>0</v>
      </c>
      <c r="B159" s="88">
        <f t="shared" si="6"/>
        <v>0</v>
      </c>
      <c r="F159" s="111"/>
      <c r="H159" s="88"/>
      <c r="I159" s="88"/>
    </row>
    <row r="160" spans="1:9" ht="12.75">
      <c r="A160" s="111">
        <v>0</v>
      </c>
      <c r="B160" s="88">
        <f t="shared" si="6"/>
        <v>0</v>
      </c>
      <c r="F160" s="111"/>
      <c r="H160" s="88"/>
      <c r="I160" s="88"/>
    </row>
    <row r="161" spans="1:9" ht="12.75">
      <c r="A161" s="111">
        <v>0</v>
      </c>
      <c r="B161" s="88">
        <f t="shared" si="6"/>
        <v>0</v>
      </c>
      <c r="F161" s="111"/>
      <c r="H161" s="88"/>
      <c r="I161" s="88"/>
    </row>
    <row r="162" spans="1:9" ht="12.75">
      <c r="A162" s="111">
        <v>0</v>
      </c>
      <c r="B162" s="88">
        <f t="shared" si="6"/>
        <v>0</v>
      </c>
      <c r="F162" s="111"/>
      <c r="H162" s="88"/>
      <c r="I162" s="88"/>
    </row>
    <row r="163" spans="1:9" ht="12.75">
      <c r="A163" s="111">
        <v>0</v>
      </c>
      <c r="B163" s="88">
        <f t="shared" si="6"/>
        <v>0</v>
      </c>
      <c r="F163" s="111"/>
      <c r="H163" s="88"/>
      <c r="I163" s="88"/>
    </row>
    <row r="164" spans="1:9" ht="12.75">
      <c r="A164" s="111">
        <v>0</v>
      </c>
      <c r="B164" s="88">
        <f t="shared" si="6"/>
        <v>0</v>
      </c>
      <c r="F164" s="111"/>
      <c r="H164" s="88"/>
      <c r="I164" s="88"/>
    </row>
    <row r="165" spans="1:9" ht="12.75">
      <c r="A165" s="111">
        <v>0</v>
      </c>
      <c r="B165" s="88">
        <f t="shared" si="6"/>
        <v>0</v>
      </c>
      <c r="F165" s="111"/>
      <c r="H165" s="88"/>
      <c r="I165" s="88"/>
    </row>
    <row r="166" spans="1:9" ht="12.75">
      <c r="A166" s="111">
        <v>0</v>
      </c>
      <c r="B166" s="88">
        <f t="shared" si="6"/>
        <v>0</v>
      </c>
      <c r="F166" s="111"/>
      <c r="H166" s="88"/>
      <c r="I166" s="88"/>
    </row>
    <row r="167" spans="1:9" ht="12.75">
      <c r="A167" s="111">
        <v>0</v>
      </c>
      <c r="B167" s="88">
        <f t="shared" si="6"/>
        <v>0</v>
      </c>
      <c r="F167" s="111"/>
      <c r="H167" s="88"/>
      <c r="I167" s="88"/>
    </row>
    <row r="168" spans="1:9" ht="12.75">
      <c r="A168" s="111">
        <v>0</v>
      </c>
      <c r="B168" s="88">
        <f t="shared" si="6"/>
        <v>0</v>
      </c>
      <c r="F168" s="111"/>
      <c r="H168" s="88"/>
      <c r="I168" s="88"/>
    </row>
    <row r="169" spans="1:9" ht="12.75">
      <c r="A169" s="111">
        <v>0</v>
      </c>
      <c r="B169" s="88">
        <f t="shared" si="6"/>
        <v>0</v>
      </c>
      <c r="F169" s="111"/>
      <c r="H169" s="88"/>
      <c r="I169" s="88"/>
    </row>
    <row r="170" spans="1:9" ht="12.75">
      <c r="A170" s="111">
        <v>0</v>
      </c>
      <c r="B170" s="88">
        <f t="shared" si="6"/>
        <v>0</v>
      </c>
      <c r="F170" s="111"/>
      <c r="H170" s="88"/>
      <c r="I170" s="88"/>
    </row>
    <row r="171" spans="1:9" ht="13.5" thickBot="1">
      <c r="A171" s="111">
        <v>0</v>
      </c>
      <c r="B171" s="88">
        <f t="shared" si="6"/>
        <v>0</v>
      </c>
      <c r="F171" s="120"/>
      <c r="H171" s="88"/>
      <c r="I171" s="88"/>
    </row>
    <row r="172" spans="1:9" ht="13.5" thickBot="1">
      <c r="A172" s="120">
        <v>0</v>
      </c>
      <c r="B172" s="88">
        <f t="shared" si="6"/>
        <v>0</v>
      </c>
      <c r="H172" s="88"/>
      <c r="I172" s="88"/>
    </row>
    <row r="173" spans="8:9" ht="12.75">
      <c r="H173" s="88"/>
      <c r="I173" s="88"/>
    </row>
    <row r="174" spans="8:9" ht="12.75">
      <c r="H174" s="88"/>
      <c r="I174" s="88"/>
    </row>
    <row r="175" spans="8:9" ht="12.75">
      <c r="H175" s="88"/>
      <c r="I175" s="88"/>
    </row>
    <row r="176" spans="8:9" ht="12.75">
      <c r="H176" s="88"/>
      <c r="I176" s="88"/>
    </row>
    <row r="177" spans="8:9" ht="12.75">
      <c r="H177" s="88"/>
      <c r="I177" s="88"/>
    </row>
    <row r="178" spans="8:9" ht="12.75">
      <c r="H178" s="88"/>
      <c r="I178" s="88"/>
    </row>
    <row r="179" spans="8:9" ht="12.75">
      <c r="H179" s="88"/>
      <c r="I179" s="88"/>
    </row>
    <row r="180" spans="8:9" ht="12.75">
      <c r="H180" s="88"/>
      <c r="I180" s="88"/>
    </row>
    <row r="181" spans="8:9" ht="12.75">
      <c r="H181" s="88"/>
      <c r="I181" s="88"/>
    </row>
    <row r="182" spans="8:9" ht="12.75">
      <c r="H182" s="88"/>
      <c r="I182" s="88"/>
    </row>
    <row r="183" spans="8:9" ht="12.75">
      <c r="H183" s="88"/>
      <c r="I183" s="88"/>
    </row>
    <row r="184" spans="8:9" ht="12.75">
      <c r="H184" s="88"/>
      <c r="I184" s="88"/>
    </row>
    <row r="185" spans="8:9" ht="12.75">
      <c r="H185" s="88"/>
      <c r="I185" s="88"/>
    </row>
    <row r="186" spans="8:9" ht="12.75">
      <c r="H186" s="88"/>
      <c r="I186" s="88"/>
    </row>
    <row r="187" spans="8:9" ht="12.75">
      <c r="H187" s="88"/>
      <c r="I187" s="88"/>
    </row>
    <row r="188" spans="8:9" ht="12.75">
      <c r="H188" s="88"/>
      <c r="I188" s="88"/>
    </row>
    <row r="189" spans="8:9" ht="12.75">
      <c r="H189" s="88"/>
      <c r="I189" s="88"/>
    </row>
    <row r="190" spans="8:9" ht="12.75">
      <c r="H190" s="88"/>
      <c r="I190" s="88"/>
    </row>
    <row r="191" spans="8:9" ht="12.75">
      <c r="H191" s="88"/>
      <c r="I191" s="88"/>
    </row>
    <row r="192" spans="8:9" ht="12.75">
      <c r="H192" s="88"/>
      <c r="I192" s="88"/>
    </row>
    <row r="193" spans="8:9" ht="12.75">
      <c r="H193" s="88"/>
      <c r="I193" s="88"/>
    </row>
    <row r="194" spans="8:9" ht="12.75">
      <c r="H194" s="88"/>
      <c r="I194" s="88"/>
    </row>
    <row r="195" spans="8:9" ht="12.75">
      <c r="H195" s="88"/>
      <c r="I195" s="88"/>
    </row>
    <row r="196" spans="8:9" ht="12.75">
      <c r="H196" s="88"/>
      <c r="I196" s="88"/>
    </row>
    <row r="197" spans="8:9" ht="12.75">
      <c r="H197" s="88"/>
      <c r="I197" s="88"/>
    </row>
    <row r="198" spans="8:9" ht="12.75">
      <c r="H198" s="88"/>
      <c r="I198" s="88"/>
    </row>
    <row r="199" spans="8:9" ht="12.75">
      <c r="H199" s="88"/>
      <c r="I199" s="88"/>
    </row>
    <row r="200" spans="8:9" ht="12.75">
      <c r="H200" s="88"/>
      <c r="I200" s="88"/>
    </row>
    <row r="201" spans="8:9" ht="12.75">
      <c r="H201" s="88"/>
      <c r="I201" s="88"/>
    </row>
    <row r="202" spans="8:9" ht="12.75">
      <c r="H202" s="88"/>
      <c r="I202" s="88"/>
    </row>
    <row r="203" spans="8:9" ht="12.75">
      <c r="H203" s="88"/>
      <c r="I203" s="88"/>
    </row>
    <row r="204" spans="8:9" ht="12.75">
      <c r="H204" s="88"/>
      <c r="I204" s="88"/>
    </row>
    <row r="205" spans="8:9" ht="12.75">
      <c r="H205" s="88"/>
      <c r="I205" s="88"/>
    </row>
    <row r="206" spans="8:9" ht="12.75">
      <c r="H206" s="88"/>
      <c r="I206" s="88"/>
    </row>
    <row r="207" spans="8:9" ht="12.75">
      <c r="H207" s="88"/>
      <c r="I207" s="88"/>
    </row>
    <row r="208" spans="8:9" ht="12.75">
      <c r="H208" s="88"/>
      <c r="I208" s="88"/>
    </row>
    <row r="209" spans="8:9" ht="12.75">
      <c r="H209" s="88"/>
      <c r="I209" s="88"/>
    </row>
    <row r="210" spans="8:9" ht="12.75">
      <c r="H210" s="88"/>
      <c r="I210" s="88"/>
    </row>
    <row r="211" spans="8:9" ht="12.75">
      <c r="H211" s="88"/>
      <c r="I211" s="88"/>
    </row>
    <row r="212" spans="8:9" ht="12.75">
      <c r="H212" s="88"/>
      <c r="I212" s="88"/>
    </row>
    <row r="213" spans="8:9" ht="12.75">
      <c r="H213" s="88"/>
      <c r="I213" s="88"/>
    </row>
    <row r="214" spans="8:9" ht="12.75">
      <c r="H214" s="88"/>
      <c r="I214" s="88"/>
    </row>
    <row r="215" spans="8:9" ht="12.75">
      <c r="H215" s="88"/>
      <c r="I215" s="88"/>
    </row>
    <row r="216" spans="8:9" ht="12.75">
      <c r="H216" s="88"/>
      <c r="I216" s="88"/>
    </row>
    <row r="217" spans="8:9" ht="12.75">
      <c r="H217" s="88"/>
      <c r="I217" s="88"/>
    </row>
    <row r="218" spans="8:9" ht="12.75">
      <c r="H218" s="88"/>
      <c r="I218" s="88"/>
    </row>
    <row r="219" spans="8:9" ht="12.75">
      <c r="H219" s="88"/>
      <c r="I219" s="88"/>
    </row>
    <row r="220" spans="8:9" ht="12.75">
      <c r="H220" s="88"/>
      <c r="I220" s="88"/>
    </row>
    <row r="221" spans="8:9" ht="12.75">
      <c r="H221" s="88"/>
      <c r="I221" s="88"/>
    </row>
    <row r="222" spans="8:9" ht="12.75">
      <c r="H222" s="88"/>
      <c r="I222" s="88"/>
    </row>
    <row r="223" spans="8:9" ht="12.75">
      <c r="H223" s="88"/>
      <c r="I223" s="88"/>
    </row>
    <row r="224" spans="8:9" ht="12.75">
      <c r="H224" s="88"/>
      <c r="I224" s="88"/>
    </row>
    <row r="225" spans="8:9" ht="12.75">
      <c r="H225" s="88"/>
      <c r="I225" s="88"/>
    </row>
    <row r="226" spans="8:9" ht="12.75">
      <c r="H226" s="88"/>
      <c r="I226" s="88"/>
    </row>
    <row r="227" spans="8:9" ht="12.75">
      <c r="H227" s="88"/>
      <c r="I227" s="88"/>
    </row>
    <row r="228" spans="8:9" ht="12.75">
      <c r="H228" s="88"/>
      <c r="I228" s="88"/>
    </row>
    <row r="229" spans="8:9" ht="12.75">
      <c r="H229" s="88"/>
      <c r="I229" s="88"/>
    </row>
    <row r="230" spans="8:9" ht="12.75">
      <c r="H230" s="88"/>
      <c r="I230" s="88"/>
    </row>
    <row r="231" spans="8:9" ht="12.75">
      <c r="H231" s="88"/>
      <c r="I231" s="88"/>
    </row>
    <row r="232" spans="8:9" ht="12.75">
      <c r="H232" s="88"/>
      <c r="I232" s="88"/>
    </row>
    <row r="233" spans="8:9" ht="12.75">
      <c r="H233" s="88"/>
      <c r="I233" s="88"/>
    </row>
    <row r="234" spans="8:9" ht="12.75">
      <c r="H234" s="88"/>
      <c r="I234" s="88"/>
    </row>
    <row r="235" spans="8:9" ht="12.75">
      <c r="H235" s="88"/>
      <c r="I235" s="88"/>
    </row>
    <row r="236" spans="8:9" ht="12.75">
      <c r="H236" s="88"/>
      <c r="I236" s="88"/>
    </row>
    <row r="237" spans="8:9" ht="12.75">
      <c r="H237" s="88"/>
      <c r="I237" s="88"/>
    </row>
    <row r="238" spans="8:9" ht="12.75">
      <c r="H238" s="88"/>
      <c r="I238" s="88"/>
    </row>
    <row r="239" spans="8:9" ht="12.75">
      <c r="H239" s="88"/>
      <c r="I239" s="88"/>
    </row>
    <row r="240" spans="8:9" ht="12.75">
      <c r="H240" s="88"/>
      <c r="I240" s="88"/>
    </row>
    <row r="241" spans="8:9" ht="12.75">
      <c r="H241" s="88"/>
      <c r="I241" s="88"/>
    </row>
    <row r="242" spans="8:9" ht="12.75">
      <c r="H242" s="88"/>
      <c r="I242" s="88"/>
    </row>
    <row r="243" spans="8:9" ht="12.75">
      <c r="H243" s="88"/>
      <c r="I243" s="88"/>
    </row>
    <row r="244" spans="8:9" ht="12.75">
      <c r="H244" s="88"/>
      <c r="I244" s="88"/>
    </row>
    <row r="245" spans="8:9" ht="12.75">
      <c r="H245" s="88"/>
      <c r="I245" s="88"/>
    </row>
    <row r="246" spans="8:9" ht="12.75">
      <c r="H246" s="88"/>
      <c r="I246" s="88"/>
    </row>
    <row r="247" spans="8:9" ht="12.75">
      <c r="H247" s="88"/>
      <c r="I247" s="88"/>
    </row>
    <row r="248" spans="8:9" ht="12.75">
      <c r="H248" s="88"/>
      <c r="I248" s="88"/>
    </row>
    <row r="249" spans="8:9" ht="12.75">
      <c r="H249" s="88"/>
      <c r="I249" s="88"/>
    </row>
    <row r="250" spans="8:9" ht="12.75">
      <c r="H250" s="88"/>
      <c r="I250" s="88"/>
    </row>
    <row r="251" spans="8:9" ht="12.75">
      <c r="H251" s="88"/>
      <c r="I251" s="88"/>
    </row>
    <row r="252" spans="8:9" ht="12.75">
      <c r="H252" s="88"/>
      <c r="I252" s="88"/>
    </row>
    <row r="253" spans="8:9" ht="12.75">
      <c r="H253" s="88"/>
      <c r="I253" s="88"/>
    </row>
    <row r="254" spans="8:9" ht="12.75">
      <c r="H254" s="88"/>
      <c r="I254" s="88"/>
    </row>
    <row r="255" spans="8:9" ht="12.75">
      <c r="H255" s="88"/>
      <c r="I255" s="88"/>
    </row>
    <row r="256" spans="8:9" ht="12.75">
      <c r="H256" s="88"/>
      <c r="I256" s="88"/>
    </row>
    <row r="257" spans="8:9" ht="12.75">
      <c r="H257" s="88"/>
      <c r="I257" s="88"/>
    </row>
    <row r="258" spans="8:9" ht="12.75">
      <c r="H258" s="88"/>
      <c r="I258" s="88"/>
    </row>
    <row r="259" spans="8:9" ht="12.75">
      <c r="H259" s="88"/>
      <c r="I259" s="88"/>
    </row>
    <row r="260" spans="8:9" ht="12.75">
      <c r="H260" s="88"/>
      <c r="I260" s="88"/>
    </row>
    <row r="261" spans="8:9" ht="12.75">
      <c r="H261" s="88"/>
      <c r="I261" s="88"/>
    </row>
    <row r="262" spans="8:9" ht="12.75">
      <c r="H262" s="88"/>
      <c r="I262" s="88"/>
    </row>
    <row r="263" spans="8:9" ht="12.75">
      <c r="H263" s="88"/>
      <c r="I263" s="88"/>
    </row>
    <row r="264" spans="8:9" ht="12.75">
      <c r="H264" s="88"/>
      <c r="I264" s="88"/>
    </row>
    <row r="265" spans="8:9" ht="12.75">
      <c r="H265" s="88"/>
      <c r="I265" s="88"/>
    </row>
    <row r="266" spans="8:9" ht="12.75">
      <c r="H266" s="88"/>
      <c r="I266" s="88"/>
    </row>
    <row r="267" spans="8:9" ht="12.75">
      <c r="H267" s="88"/>
      <c r="I267" s="88"/>
    </row>
    <row r="268" spans="8:9" ht="12.75">
      <c r="H268" s="88"/>
      <c r="I268" s="88"/>
    </row>
    <row r="269" spans="8:9" ht="12.75">
      <c r="H269" s="88"/>
      <c r="I269" s="88"/>
    </row>
    <row r="270" spans="8:9" ht="12.75">
      <c r="H270" s="88"/>
      <c r="I270" s="88"/>
    </row>
    <row r="271" spans="8:9" ht="12.75">
      <c r="H271" s="88"/>
      <c r="I271" s="88"/>
    </row>
    <row r="272" spans="8:9" ht="12.75">
      <c r="H272" s="88"/>
      <c r="I272" s="88"/>
    </row>
    <row r="273" spans="8:9" ht="12.75">
      <c r="H273" s="88"/>
      <c r="I273" s="88"/>
    </row>
    <row r="274" spans="8:9" ht="12.75">
      <c r="H274" s="88"/>
      <c r="I274" s="88"/>
    </row>
    <row r="275" spans="8:9" ht="12.75">
      <c r="H275" s="88"/>
      <c r="I275" s="88"/>
    </row>
    <row r="276" spans="8:9" ht="12.75">
      <c r="H276" s="88"/>
      <c r="I276" s="88"/>
    </row>
    <row r="277" spans="8:9" ht="12.75">
      <c r="H277" s="88"/>
      <c r="I277" s="88"/>
    </row>
    <row r="278" spans="8:9" ht="12.75">
      <c r="H278" s="88"/>
      <c r="I278" s="88"/>
    </row>
    <row r="279" spans="8:9" ht="12.75">
      <c r="H279" s="88"/>
      <c r="I279" s="88"/>
    </row>
    <row r="280" spans="8:9" ht="12.75">
      <c r="H280" s="88"/>
      <c r="I280" s="88"/>
    </row>
    <row r="281" spans="8:9" ht="12.75">
      <c r="H281" s="88"/>
      <c r="I281" s="88"/>
    </row>
    <row r="282" spans="8:9" ht="12.75">
      <c r="H282" s="88"/>
      <c r="I282" s="88"/>
    </row>
    <row r="283" spans="8:9" ht="12.75">
      <c r="H283" s="88"/>
      <c r="I283" s="88"/>
    </row>
    <row r="284" spans="8:9" ht="12.75">
      <c r="H284" s="88"/>
      <c r="I284" s="88"/>
    </row>
    <row r="285" spans="8:9" ht="12.75">
      <c r="H285" s="88"/>
      <c r="I285" s="88"/>
    </row>
    <row r="286" spans="8:9" ht="12.75">
      <c r="H286" s="88"/>
      <c r="I286" s="88"/>
    </row>
    <row r="287" spans="8:9" ht="12.75">
      <c r="H287" s="88"/>
      <c r="I287" s="88"/>
    </row>
    <row r="288" spans="8:9" ht="12.75">
      <c r="H288" s="88"/>
      <c r="I288" s="88"/>
    </row>
    <row r="289" spans="8:9" ht="12.75">
      <c r="H289" s="88"/>
      <c r="I289" s="88"/>
    </row>
    <row r="290" spans="8:9" ht="12.75">
      <c r="H290" s="88"/>
      <c r="I290" s="88"/>
    </row>
    <row r="291" spans="8:9" ht="12.75">
      <c r="H291" s="88"/>
      <c r="I291" s="88"/>
    </row>
    <row r="292" spans="8:9" ht="12.75">
      <c r="H292" s="88"/>
      <c r="I292" s="88"/>
    </row>
    <row r="293" spans="8:9" ht="12.75">
      <c r="H293" s="88"/>
      <c r="I293" s="88"/>
    </row>
    <row r="294" spans="8:9" ht="12.75">
      <c r="H294" s="88"/>
      <c r="I294" s="88"/>
    </row>
    <row r="295" spans="8:9" ht="12.75">
      <c r="H295" s="88"/>
      <c r="I295" s="88"/>
    </row>
    <row r="296" spans="8:9" ht="12.75">
      <c r="H296" s="88"/>
      <c r="I296" s="88"/>
    </row>
    <row r="297" spans="8:9" ht="12.75">
      <c r="H297" s="88"/>
      <c r="I297" s="88"/>
    </row>
    <row r="298" spans="8:9" ht="12.75">
      <c r="H298" s="88"/>
      <c r="I298" s="88"/>
    </row>
    <row r="299" spans="8:9" ht="12.75">
      <c r="H299" s="88"/>
      <c r="I299" s="88"/>
    </row>
    <row r="300" spans="8:9" ht="12.75">
      <c r="H300" s="88"/>
      <c r="I300" s="88"/>
    </row>
    <row r="301" spans="8:9" ht="12.75">
      <c r="H301" s="88"/>
      <c r="I301" s="88"/>
    </row>
    <row r="302" spans="8:9" ht="12.75">
      <c r="H302" s="88"/>
      <c r="I302" s="88"/>
    </row>
    <row r="303" spans="8:9" ht="12.75">
      <c r="H303" s="88"/>
      <c r="I303" s="88"/>
    </row>
    <row r="304" spans="8:9" ht="12.75">
      <c r="H304" s="88"/>
      <c r="I304" s="88"/>
    </row>
    <row r="305" spans="8:9" ht="12.75">
      <c r="H305" s="88"/>
      <c r="I305" s="88"/>
    </row>
    <row r="306" spans="8:9" ht="12.75">
      <c r="H306" s="88"/>
      <c r="I306" s="88"/>
    </row>
    <row r="307" spans="8:9" ht="12.75">
      <c r="H307" s="88"/>
      <c r="I307" s="88"/>
    </row>
    <row r="308" spans="8:9" ht="12.75">
      <c r="H308" s="88"/>
      <c r="I308" s="88"/>
    </row>
    <row r="309" spans="8:9" ht="12.75">
      <c r="H309" s="88"/>
      <c r="I309" s="88"/>
    </row>
    <row r="310" spans="8:9" ht="12.75">
      <c r="H310" s="88"/>
      <c r="I310" s="88"/>
    </row>
    <row r="311" spans="8:9" ht="12.75">
      <c r="H311" s="88"/>
      <c r="I311" s="88"/>
    </row>
    <row r="312" spans="8:9" ht="12.75">
      <c r="H312" s="88"/>
      <c r="I312" s="88"/>
    </row>
    <row r="313" spans="8:9" ht="12.75">
      <c r="H313" s="88"/>
      <c r="I313" s="88"/>
    </row>
    <row r="314" spans="8:9" ht="12.75">
      <c r="H314" s="88"/>
      <c r="I314" s="88"/>
    </row>
    <row r="315" spans="8:9" ht="12.75">
      <c r="H315" s="88"/>
      <c r="I315" s="88"/>
    </row>
    <row r="316" spans="8:9" ht="12.75">
      <c r="H316" s="88"/>
      <c r="I316" s="88"/>
    </row>
    <row r="317" spans="8:9" ht="12.75">
      <c r="H317" s="88"/>
      <c r="I317" s="88"/>
    </row>
    <row r="318" spans="8:9" ht="12.75">
      <c r="H318" s="88"/>
      <c r="I318" s="88"/>
    </row>
    <row r="319" spans="8:9" ht="12.75">
      <c r="H319" s="88"/>
      <c r="I319" s="88"/>
    </row>
    <row r="320" spans="8:9" ht="12.75">
      <c r="H320" s="88"/>
      <c r="I320" s="88"/>
    </row>
    <row r="321" spans="8:9" ht="12.75">
      <c r="H321" s="88"/>
      <c r="I321" s="88"/>
    </row>
    <row r="322" spans="8:9" ht="12.75">
      <c r="H322" s="88"/>
      <c r="I322" s="88"/>
    </row>
    <row r="323" spans="8:9" ht="12.75">
      <c r="H323" s="88"/>
      <c r="I323" s="88"/>
    </row>
    <row r="324" spans="8:9" ht="12.75">
      <c r="H324" s="88"/>
      <c r="I324" s="88"/>
    </row>
    <row r="325" spans="8:9" ht="12.75">
      <c r="H325" s="88"/>
      <c r="I325" s="88"/>
    </row>
    <row r="326" spans="8:9" ht="12.75">
      <c r="H326" s="88"/>
      <c r="I326" s="88"/>
    </row>
    <row r="327" spans="8:9" ht="12.75">
      <c r="H327" s="88"/>
      <c r="I327" s="88"/>
    </row>
    <row r="328" spans="8:9" ht="12.75">
      <c r="H328" s="88"/>
      <c r="I328" s="88"/>
    </row>
    <row r="329" spans="8:9" ht="12.75">
      <c r="H329" s="88"/>
      <c r="I329" s="88"/>
    </row>
    <row r="330" spans="8:9" ht="12.75">
      <c r="H330" s="88"/>
      <c r="I330" s="88"/>
    </row>
    <row r="331" spans="8:9" ht="12.75">
      <c r="H331" s="88"/>
      <c r="I331" s="88"/>
    </row>
    <row r="332" spans="8:9" ht="12.75">
      <c r="H332" s="88"/>
      <c r="I332" s="88"/>
    </row>
    <row r="333" spans="8:9" ht="12.75">
      <c r="H333" s="88"/>
      <c r="I333" s="88"/>
    </row>
    <row r="334" spans="8:9" ht="12.75">
      <c r="H334" s="88"/>
      <c r="I334" s="88"/>
    </row>
    <row r="335" spans="8:9" ht="12.75">
      <c r="H335" s="88"/>
      <c r="I335" s="88"/>
    </row>
    <row r="336" spans="8:9" ht="12.75">
      <c r="H336" s="88"/>
      <c r="I336" s="88"/>
    </row>
    <row r="337" spans="8:9" ht="12.75">
      <c r="H337" s="88"/>
      <c r="I337" s="88"/>
    </row>
    <row r="338" spans="8:9" ht="12.75">
      <c r="H338" s="88"/>
      <c r="I338" s="88"/>
    </row>
    <row r="339" spans="8:9" ht="12.75">
      <c r="H339" s="88"/>
      <c r="I339" s="88"/>
    </row>
    <row r="340" spans="8:9" ht="12.75">
      <c r="H340" s="88"/>
      <c r="I340" s="88"/>
    </row>
    <row r="341" spans="8:9" ht="12.75">
      <c r="H341" s="88"/>
      <c r="I341" s="88"/>
    </row>
    <row r="342" spans="8:9" ht="12.75">
      <c r="H342" s="88"/>
      <c r="I342" s="88"/>
    </row>
    <row r="343" spans="8:9" ht="12.75">
      <c r="H343" s="88"/>
      <c r="I343" s="88"/>
    </row>
    <row r="344" spans="8:9" ht="12.75">
      <c r="H344" s="88"/>
      <c r="I344" s="88"/>
    </row>
    <row r="345" spans="8:9" ht="12.75">
      <c r="H345" s="88"/>
      <c r="I345" s="88"/>
    </row>
    <row r="346" spans="8:9" ht="12.75">
      <c r="H346" s="88"/>
      <c r="I346" s="88"/>
    </row>
    <row r="347" spans="8:9" ht="12.75">
      <c r="H347" s="88"/>
      <c r="I347" s="88"/>
    </row>
    <row r="348" spans="8:9" ht="12.75">
      <c r="H348" s="88"/>
      <c r="I348" s="88"/>
    </row>
    <row r="349" spans="8:9" ht="12.75">
      <c r="H349" s="88"/>
      <c r="I349" s="88"/>
    </row>
    <row r="350" spans="8:9" ht="12.75">
      <c r="H350" s="88"/>
      <c r="I350" s="88"/>
    </row>
    <row r="351" spans="8:9" ht="12.75">
      <c r="H351" s="88"/>
      <c r="I351" s="88"/>
    </row>
    <row r="352" spans="8:9" ht="12.75">
      <c r="H352" s="88"/>
      <c r="I352" s="88"/>
    </row>
    <row r="353" spans="8:9" ht="12.75">
      <c r="H353" s="88"/>
      <c r="I353" s="88"/>
    </row>
    <row r="354" spans="8:9" ht="12.75">
      <c r="H354" s="88"/>
      <c r="I354" s="88"/>
    </row>
    <row r="355" spans="8:9" ht="12.75">
      <c r="H355" s="88"/>
      <c r="I355" s="88"/>
    </row>
    <row r="356" spans="8:9" ht="12.75">
      <c r="H356" s="88"/>
      <c r="I356" s="88"/>
    </row>
    <row r="357" spans="8:9" ht="12.75">
      <c r="H357" s="88"/>
      <c r="I357" s="88"/>
    </row>
    <row r="358" spans="8:9" ht="12.75">
      <c r="H358" s="88"/>
      <c r="I358" s="88"/>
    </row>
    <row r="359" spans="8:9" ht="12.75">
      <c r="H359" s="88"/>
      <c r="I359" s="88"/>
    </row>
    <row r="360" spans="8:9" ht="12.75">
      <c r="H360" s="88"/>
      <c r="I360" s="88"/>
    </row>
    <row r="361" spans="8:9" ht="12.75">
      <c r="H361" s="88"/>
      <c r="I361" s="88"/>
    </row>
    <row r="362" spans="8:9" ht="12.75">
      <c r="H362" s="88"/>
      <c r="I362" s="88"/>
    </row>
    <row r="363" spans="8:9" ht="12.75">
      <c r="H363" s="88"/>
      <c r="I363" s="88"/>
    </row>
    <row r="364" spans="8:9" ht="12.75">
      <c r="H364" s="88"/>
      <c r="I364" s="88"/>
    </row>
    <row r="365" spans="8:9" ht="12.75">
      <c r="H365" s="88"/>
      <c r="I365" s="88"/>
    </row>
    <row r="366" spans="8:9" ht="12.75">
      <c r="H366" s="88"/>
      <c r="I366" s="88"/>
    </row>
    <row r="367" spans="8:9" ht="12.75">
      <c r="H367" s="88"/>
      <c r="I367" s="88"/>
    </row>
    <row r="368" spans="8:9" ht="12.75">
      <c r="H368" s="88"/>
      <c r="I368" s="88"/>
    </row>
    <row r="369" spans="8:9" ht="12.75">
      <c r="H369" s="88"/>
      <c r="I369" s="88"/>
    </row>
    <row r="370" spans="8:9" ht="12.75">
      <c r="H370" s="88"/>
      <c r="I370" s="88"/>
    </row>
    <row r="371" spans="8:9" ht="12.75">
      <c r="H371" s="88"/>
      <c r="I371" s="88"/>
    </row>
    <row r="372" spans="8:9" ht="12.75">
      <c r="H372" s="88"/>
      <c r="I372" s="88"/>
    </row>
    <row r="373" spans="8:9" ht="12.75">
      <c r="H373" s="88"/>
      <c r="I373" s="88"/>
    </row>
    <row r="374" spans="8:9" ht="12.75">
      <c r="H374" s="88"/>
      <c r="I374" s="88"/>
    </row>
    <row r="375" spans="8:9" ht="12.75">
      <c r="H375" s="88"/>
      <c r="I375" s="88"/>
    </row>
    <row r="376" spans="8:9" ht="12.75">
      <c r="H376" s="88"/>
      <c r="I376" s="88"/>
    </row>
    <row r="377" spans="8:9" ht="12.75">
      <c r="H377" s="88"/>
      <c r="I377" s="88"/>
    </row>
    <row r="378" spans="8:9" ht="12.75">
      <c r="H378" s="88"/>
      <c r="I378" s="88"/>
    </row>
    <row r="379" spans="8:9" ht="12.75">
      <c r="H379" s="88"/>
      <c r="I379" s="88"/>
    </row>
    <row r="380" spans="8:9" ht="12.75">
      <c r="H380" s="88"/>
      <c r="I380" s="88"/>
    </row>
    <row r="381" spans="8:9" ht="12.75">
      <c r="H381" s="88"/>
      <c r="I381" s="88"/>
    </row>
    <row r="382" spans="8:9" ht="12.75">
      <c r="H382" s="88"/>
      <c r="I382" s="88"/>
    </row>
    <row r="383" spans="8:9" ht="12.75">
      <c r="H383" s="88"/>
      <c r="I383" s="88"/>
    </row>
    <row r="384" spans="8:9" ht="12.75">
      <c r="H384" s="88"/>
      <c r="I384" s="88"/>
    </row>
    <row r="385" spans="8:9" ht="12.75">
      <c r="H385" s="88"/>
      <c r="I385" s="88"/>
    </row>
    <row r="386" spans="8:9" ht="12.75">
      <c r="H386" s="88"/>
      <c r="I386" s="88"/>
    </row>
    <row r="387" spans="8:9" ht="12.75">
      <c r="H387" s="88"/>
      <c r="I387" s="88"/>
    </row>
    <row r="388" spans="8:9" ht="12.75">
      <c r="H388" s="88"/>
      <c r="I388" s="88"/>
    </row>
    <row r="389" spans="8:9" ht="12.75">
      <c r="H389" s="88"/>
      <c r="I389" s="88"/>
    </row>
    <row r="390" spans="8:9" ht="12.75">
      <c r="H390" s="88"/>
      <c r="I390" s="88"/>
    </row>
    <row r="391" spans="8:9" ht="12.75">
      <c r="H391" s="88"/>
      <c r="I391" s="88"/>
    </row>
    <row r="392" spans="8:9" ht="12.75">
      <c r="H392" s="88"/>
      <c r="I392" s="88"/>
    </row>
    <row r="393" spans="8:9" ht="12.75">
      <c r="H393" s="88"/>
      <c r="I393" s="88"/>
    </row>
    <row r="394" spans="8:9" ht="12.75">
      <c r="H394" s="88"/>
      <c r="I394" s="88"/>
    </row>
    <row r="395" spans="8:9" ht="12.75">
      <c r="H395" s="88"/>
      <c r="I395" s="88"/>
    </row>
    <row r="396" spans="8:9" ht="12.75">
      <c r="H396" s="88"/>
      <c r="I396" s="88"/>
    </row>
    <row r="397" spans="8:9" ht="12.75">
      <c r="H397" s="88"/>
      <c r="I397" s="88"/>
    </row>
    <row r="398" spans="8:9" ht="12.75">
      <c r="H398" s="88"/>
      <c r="I398" s="88"/>
    </row>
    <row r="399" spans="8:9" ht="12.75">
      <c r="H399" s="88"/>
      <c r="I399" s="88"/>
    </row>
    <row r="400" spans="8:9" ht="12.75">
      <c r="H400" s="88"/>
      <c r="I400" s="88"/>
    </row>
    <row r="401" spans="8:9" ht="12.75">
      <c r="H401" s="88"/>
      <c r="I401" s="88"/>
    </row>
    <row r="402" spans="8:9" ht="12.75">
      <c r="H402" s="88"/>
      <c r="I402" s="88"/>
    </row>
    <row r="403" spans="8:9" ht="12.75">
      <c r="H403" s="88"/>
      <c r="I403" s="88"/>
    </row>
    <row r="404" spans="8:9" ht="12.75">
      <c r="H404" s="88"/>
      <c r="I404" s="88"/>
    </row>
    <row r="405" spans="8:9" ht="12.75">
      <c r="H405" s="88"/>
      <c r="I405" s="88"/>
    </row>
    <row r="406" spans="8:9" ht="12.75">
      <c r="H406" s="88"/>
      <c r="I406" s="88"/>
    </row>
    <row r="407" spans="8:9" ht="12.75">
      <c r="H407" s="88"/>
      <c r="I407" s="88"/>
    </row>
    <row r="408" spans="8:9" ht="12.75">
      <c r="H408" s="88"/>
      <c r="I408" s="88"/>
    </row>
    <row r="409" spans="8:9" ht="12.75">
      <c r="H409" s="88"/>
      <c r="I409" s="88"/>
    </row>
    <row r="410" spans="8:9" ht="12.75">
      <c r="H410" s="88"/>
      <c r="I410" s="88"/>
    </row>
    <row r="411" spans="8:9" ht="12.75">
      <c r="H411" s="88"/>
      <c r="I411" s="88"/>
    </row>
    <row r="412" spans="8:9" ht="12.75">
      <c r="H412" s="88"/>
      <c r="I412" s="88"/>
    </row>
    <row r="413" spans="8:9" ht="12.75">
      <c r="H413" s="88"/>
      <c r="I413" s="88"/>
    </row>
    <row r="414" spans="8:9" ht="12.75">
      <c r="H414" s="88"/>
      <c r="I414" s="88"/>
    </row>
    <row r="415" spans="8:9" ht="12.75">
      <c r="H415" s="88"/>
      <c r="I415" s="88"/>
    </row>
    <row r="416" spans="8:9" ht="12.75">
      <c r="H416" s="88"/>
      <c r="I416" s="88"/>
    </row>
    <row r="417" spans="8:9" ht="12.75">
      <c r="H417" s="88"/>
      <c r="I417" s="88"/>
    </row>
    <row r="418" spans="8:9" ht="12.75">
      <c r="H418" s="88"/>
      <c r="I418" s="88"/>
    </row>
    <row r="419" spans="8:9" ht="12.75">
      <c r="H419" s="88"/>
      <c r="I419" s="88"/>
    </row>
    <row r="420" spans="8:9" ht="12.75">
      <c r="H420" s="88"/>
      <c r="I420" s="88"/>
    </row>
    <row r="421" spans="8:9" ht="12.75">
      <c r="H421" s="88"/>
      <c r="I421" s="88"/>
    </row>
    <row r="422" spans="8:9" ht="12.75">
      <c r="H422" s="88"/>
      <c r="I422" s="88"/>
    </row>
    <row r="423" spans="8:9" ht="12.75">
      <c r="H423" s="88"/>
      <c r="I423" s="88"/>
    </row>
    <row r="424" spans="8:9" ht="12.75">
      <c r="H424" s="88"/>
      <c r="I424" s="88"/>
    </row>
    <row r="425" spans="8:9" ht="12.75">
      <c r="H425" s="88"/>
      <c r="I425" s="88"/>
    </row>
    <row r="426" spans="8:9" ht="12.75">
      <c r="H426" s="88"/>
      <c r="I426" s="88"/>
    </row>
    <row r="427" spans="8:9" ht="12.75">
      <c r="H427" s="88"/>
      <c r="I427" s="88"/>
    </row>
    <row r="428" spans="8:9" ht="12.75">
      <c r="H428" s="88"/>
      <c r="I428" s="88"/>
    </row>
    <row r="429" spans="8:9" ht="12.75">
      <c r="H429" s="88"/>
      <c r="I429" s="88"/>
    </row>
    <row r="430" spans="8:9" ht="12.75">
      <c r="H430" s="88"/>
      <c r="I430" s="88"/>
    </row>
  </sheetData>
  <sheetProtection/>
  <mergeCells count="5">
    <mergeCell ref="A1:I4"/>
    <mergeCell ref="A6:E6"/>
    <mergeCell ref="F6:I6"/>
    <mergeCell ref="A33:F33"/>
    <mergeCell ref="H33:J33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N437"/>
  <sheetViews>
    <sheetView zoomScale="85" zoomScaleNormal="85" workbookViewId="0" topLeftCell="A1">
      <selection activeCell="A6" sqref="A6:E6"/>
    </sheetView>
  </sheetViews>
  <sheetFormatPr defaultColWidth="9.140625" defaultRowHeight="12.75"/>
  <cols>
    <col min="1" max="1" width="9.140625" style="88" customWidth="1"/>
    <col min="2" max="2" width="20.140625" style="88" bestFit="1" customWidth="1"/>
    <col min="3" max="3" width="13.421875" style="88" customWidth="1"/>
    <col min="4" max="4" width="11.57421875" style="88" customWidth="1"/>
    <col min="5" max="5" width="11.8515625" style="88" customWidth="1"/>
    <col min="6" max="6" width="11.00390625" style="88" customWidth="1"/>
    <col min="7" max="7" width="12.421875" style="88" customWidth="1"/>
    <col min="8" max="8" width="12.140625" style="124" customWidth="1"/>
    <col min="9" max="9" width="10.00390625" style="124" customWidth="1"/>
    <col min="10" max="10" width="7.00390625" style="88" customWidth="1"/>
    <col min="11" max="11" width="11.421875" style="88" customWidth="1"/>
    <col min="12" max="12" width="13.28125" style="88" customWidth="1"/>
    <col min="13" max="13" width="22.8515625" style="0" customWidth="1"/>
  </cols>
  <sheetData>
    <row r="1" spans="1:12" ht="12.75">
      <c r="A1" s="244" t="s">
        <v>86</v>
      </c>
      <c r="B1" s="245"/>
      <c r="C1" s="245"/>
      <c r="D1" s="245"/>
      <c r="E1" s="245"/>
      <c r="F1" s="245"/>
      <c r="G1" s="245"/>
      <c r="H1" s="245"/>
      <c r="I1" s="245"/>
      <c r="J1" s="79"/>
      <c r="K1" s="79"/>
      <c r="L1" s="79"/>
    </row>
    <row r="2" spans="1:12" ht="12.75">
      <c r="A2" s="246"/>
      <c r="B2" s="245"/>
      <c r="C2" s="245"/>
      <c r="D2" s="245"/>
      <c r="E2" s="245"/>
      <c r="F2" s="245"/>
      <c r="G2" s="245"/>
      <c r="H2" s="245"/>
      <c r="I2" s="245"/>
      <c r="J2" s="79"/>
      <c r="K2" s="79"/>
      <c r="L2" s="79"/>
    </row>
    <row r="3" spans="1:12" ht="12.75">
      <c r="A3" s="245"/>
      <c r="B3" s="245"/>
      <c r="C3" s="245"/>
      <c r="D3" s="245"/>
      <c r="E3" s="245"/>
      <c r="F3" s="245"/>
      <c r="G3" s="245"/>
      <c r="H3" s="245"/>
      <c r="I3" s="245"/>
      <c r="J3" s="79"/>
      <c r="K3" s="79"/>
      <c r="L3" s="79"/>
    </row>
    <row r="4" spans="1:12" ht="12.75">
      <c r="A4" s="245"/>
      <c r="B4" s="245"/>
      <c r="C4" s="245"/>
      <c r="D4" s="245"/>
      <c r="E4" s="245"/>
      <c r="F4" s="245"/>
      <c r="G4" s="245"/>
      <c r="H4" s="245"/>
      <c r="I4" s="245"/>
      <c r="J4" s="79"/>
      <c r="K4" s="79"/>
      <c r="L4" s="79"/>
    </row>
    <row r="5" spans="1:12" ht="20.25">
      <c r="A5" s="80" t="str">
        <f>IF(NVTable_Data_Weeds!D47=1,"Weed Spraying - Spot Spray",IF(NVTable_Data_Weeds!D47=2,"Weed Spraying - Flat + Spot Spray","Weed Spraying - Flat Rate"))</f>
        <v>Weed Spraying - Flat + Spot Spray</v>
      </c>
      <c r="B5" s="78"/>
      <c r="C5" s="78"/>
      <c r="D5" s="78"/>
      <c r="E5" s="78"/>
      <c r="F5" s="78"/>
      <c r="G5" s="78"/>
      <c r="H5" s="78"/>
      <c r="I5" s="78"/>
      <c r="J5" s="79"/>
      <c r="K5" s="79"/>
      <c r="L5" s="79"/>
    </row>
    <row r="6" spans="1:12" ht="13.5" thickBot="1">
      <c r="A6" s="247" t="s">
        <v>15</v>
      </c>
      <c r="B6" s="248"/>
      <c r="C6" s="248"/>
      <c r="D6" s="248"/>
      <c r="E6" s="248"/>
      <c r="F6" s="248" t="s">
        <v>9</v>
      </c>
      <c r="G6" s="248"/>
      <c r="H6" s="248"/>
      <c r="I6" s="248"/>
      <c r="J6" s="81"/>
      <c r="K6" s="81"/>
      <c r="L6" s="81"/>
    </row>
    <row r="7" spans="1:12" ht="12.75">
      <c r="A7" s="82"/>
      <c r="B7" s="91" t="s">
        <v>154</v>
      </c>
      <c r="C7" s="91" t="str">
        <f>IF(C8=1,"Spot-spray",IF(C8=2,"Flat &amp; Spot-Spray","Flat rate"))</f>
        <v>Flat &amp; Spot-Spray</v>
      </c>
      <c r="D7" s="82"/>
      <c r="E7" s="82"/>
      <c r="F7" s="95" t="s">
        <v>168</v>
      </c>
      <c r="G7" s="82"/>
      <c r="H7" s="84"/>
      <c r="I7" s="84"/>
      <c r="J7" s="82"/>
      <c r="K7" s="82"/>
      <c r="L7" s="82"/>
    </row>
    <row r="8" spans="1:12" ht="12.75">
      <c r="A8" s="82"/>
      <c r="B8" s="85">
        <f>NVTable_Data_Weeds!B8</f>
        <v>0.3</v>
      </c>
      <c r="C8" s="128">
        <f>NVTable_Data_Weeds!D47</f>
        <v>2</v>
      </c>
      <c r="D8" s="82">
        <v>0</v>
      </c>
      <c r="E8" s="82">
        <v>0</v>
      </c>
      <c r="F8" s="129">
        <f>PSTable_Weeds!E13</f>
        <v>23.57379129680843</v>
      </c>
      <c r="G8" s="87">
        <v>0</v>
      </c>
      <c r="H8" s="87">
        <v>0</v>
      </c>
      <c r="I8" s="87">
        <v>0</v>
      </c>
      <c r="J8" s="82"/>
      <c r="K8" s="82"/>
      <c r="L8" s="82"/>
    </row>
    <row r="9" spans="1:12" ht="12.75">
      <c r="A9" s="82"/>
      <c r="B9" s="84"/>
      <c r="C9" s="84"/>
      <c r="D9" s="82"/>
      <c r="E9" s="82"/>
      <c r="F9" s="82"/>
      <c r="G9" s="82"/>
      <c r="H9" s="84"/>
      <c r="I9" s="84"/>
      <c r="J9" s="82"/>
      <c r="K9" s="82"/>
      <c r="L9" s="82"/>
    </row>
    <row r="10" spans="1:12" ht="12.75">
      <c r="A10" s="82"/>
      <c r="B10" s="91"/>
      <c r="C10" s="84"/>
      <c r="D10" s="82"/>
      <c r="E10" s="125"/>
      <c r="F10" s="82"/>
      <c r="G10" s="82"/>
      <c r="H10" s="84"/>
      <c r="I10" s="84"/>
      <c r="J10" s="82"/>
      <c r="K10" s="82"/>
      <c r="L10" s="82"/>
    </row>
    <row r="11" spans="1:12" ht="12.75">
      <c r="A11" s="82"/>
      <c r="B11" s="82"/>
      <c r="C11" s="89"/>
      <c r="D11" s="82"/>
      <c r="E11" s="126"/>
      <c r="F11" s="82"/>
      <c r="G11" s="82"/>
      <c r="H11" s="84"/>
      <c r="I11" s="84"/>
      <c r="J11" s="82"/>
      <c r="K11" s="82"/>
      <c r="L11" s="82"/>
    </row>
    <row r="12" spans="1:12" ht="12.75">
      <c r="A12" s="82"/>
      <c r="B12" s="89"/>
      <c r="C12" s="89"/>
      <c r="D12" s="82"/>
      <c r="E12" s="90"/>
      <c r="F12" s="82"/>
      <c r="G12" s="82"/>
      <c r="H12" s="84"/>
      <c r="I12" s="84"/>
      <c r="J12" s="82"/>
      <c r="K12" s="82"/>
      <c r="L12" s="82"/>
    </row>
    <row r="13" spans="1:12" ht="12.75">
      <c r="A13" s="82"/>
      <c r="B13" s="91" t="s">
        <v>155</v>
      </c>
      <c r="C13" s="89"/>
      <c r="D13" s="82"/>
      <c r="E13" s="90"/>
      <c r="F13" s="83"/>
      <c r="G13" s="84"/>
      <c r="H13" s="84"/>
      <c r="I13" s="84"/>
      <c r="J13" s="82"/>
      <c r="K13" s="82"/>
      <c r="L13" s="82"/>
    </row>
    <row r="14" spans="1:12" ht="12.75">
      <c r="A14" s="82"/>
      <c r="B14" s="128">
        <f>PSTable_Weeds!N5</f>
        <v>3</v>
      </c>
      <c r="C14" s="89"/>
      <c r="D14" s="82"/>
      <c r="E14" s="90"/>
      <c r="F14" s="83"/>
      <c r="G14" s="84"/>
      <c r="H14" s="84"/>
      <c r="I14" s="84"/>
      <c r="J14" s="82"/>
      <c r="K14" s="82"/>
      <c r="L14" s="82"/>
    </row>
    <row r="15" spans="1:12" ht="12.75">
      <c r="A15" s="93"/>
      <c r="B15" s="91"/>
      <c r="C15" s="89"/>
      <c r="D15" s="82"/>
      <c r="E15" s="90"/>
      <c r="F15" s="83"/>
      <c r="G15" s="84"/>
      <c r="H15" s="84"/>
      <c r="I15" s="84"/>
      <c r="J15" s="82"/>
      <c r="K15" s="82"/>
      <c r="L15" s="82"/>
    </row>
    <row r="16" spans="1:12" ht="13.5" thickBot="1">
      <c r="A16" s="93"/>
      <c r="B16" s="96" t="s">
        <v>167</v>
      </c>
      <c r="C16" s="96" t="s">
        <v>138</v>
      </c>
      <c r="D16" s="82"/>
      <c r="E16" s="95" t="s">
        <v>24</v>
      </c>
      <c r="F16" s="83"/>
      <c r="G16" s="84"/>
      <c r="H16" s="84"/>
      <c r="I16" s="82"/>
      <c r="J16" s="82"/>
      <c r="K16" s="82"/>
      <c r="L16" s="82"/>
    </row>
    <row r="17" spans="1:12" ht="13.5" thickBot="1">
      <c r="A17" s="82"/>
      <c r="B17" s="130">
        <f>NVTable_Data_Weeds!B17</f>
        <v>11</v>
      </c>
      <c r="C17" s="130">
        <f>NVTable_Data_Weeds!C17</f>
        <v>36</v>
      </c>
      <c r="D17" s="82"/>
      <c r="E17" s="131" t="str">
        <f>NVTable_Data_Weeds!E17</f>
        <v>Joe Schmo</v>
      </c>
      <c r="F17" s="102"/>
      <c r="G17" s="132"/>
      <c r="H17" s="133"/>
      <c r="I17" s="82"/>
      <c r="J17" s="82"/>
      <c r="K17" s="82"/>
      <c r="L17" s="82"/>
    </row>
    <row r="18" spans="1:12" ht="12.75">
      <c r="A18" s="82"/>
      <c r="B18" s="82"/>
      <c r="C18" s="82"/>
      <c r="D18" s="82"/>
      <c r="E18" s="82"/>
      <c r="F18" s="83"/>
      <c r="G18" s="84"/>
      <c r="H18" s="84"/>
      <c r="I18" s="82"/>
      <c r="J18" s="82"/>
      <c r="K18" s="82"/>
      <c r="L18" s="82"/>
    </row>
    <row r="19" spans="1:12" ht="12.75">
      <c r="A19" s="82"/>
      <c r="B19" s="95" t="s">
        <v>160</v>
      </c>
      <c r="C19" s="82"/>
      <c r="D19" s="82"/>
      <c r="E19" s="95" t="s">
        <v>25</v>
      </c>
      <c r="F19" s="83"/>
      <c r="G19" s="84"/>
      <c r="H19" s="84"/>
      <c r="I19" s="84"/>
      <c r="J19" s="82"/>
      <c r="K19" s="82"/>
      <c r="L19" s="82"/>
    </row>
    <row r="20" spans="1:12" ht="12.75">
      <c r="A20" s="82"/>
      <c r="B20" s="129">
        <f>PSTable_Weeds!E12</f>
        <v>7.20310289624702</v>
      </c>
      <c r="C20" s="82"/>
      <c r="D20" s="82"/>
      <c r="E20" s="98" t="str">
        <f>NVTable_Data_Weeds!E20</f>
        <v>Joe Schmo</v>
      </c>
      <c r="F20" s="102"/>
      <c r="G20" s="132"/>
      <c r="H20" s="133"/>
      <c r="I20" s="84"/>
      <c r="J20" s="82"/>
      <c r="K20" s="82"/>
      <c r="L20" s="82"/>
    </row>
    <row r="21" spans="1:12" ht="13.5" thickBot="1">
      <c r="A21" s="82"/>
      <c r="B21" s="96" t="s">
        <v>91</v>
      </c>
      <c r="C21" s="82"/>
      <c r="D21" s="82"/>
      <c r="E21" s="82"/>
      <c r="F21" s="83"/>
      <c r="G21" s="84"/>
      <c r="H21" s="84"/>
      <c r="I21" s="84"/>
      <c r="J21" s="82"/>
      <c r="K21" s="82"/>
      <c r="L21" s="82"/>
    </row>
    <row r="22" spans="1:12" ht="13.5" thickBot="1">
      <c r="A22" s="82"/>
      <c r="B22" s="130">
        <f>NVTable_Data_Weeds!B22</f>
        <v>24</v>
      </c>
      <c r="C22" s="95"/>
      <c r="D22" s="82"/>
      <c r="E22" s="95" t="s">
        <v>38</v>
      </c>
      <c r="F22" s="83"/>
      <c r="G22" s="84"/>
      <c r="H22" s="84"/>
      <c r="I22" s="84"/>
      <c r="J22" s="82"/>
      <c r="K22" s="82"/>
      <c r="L22" s="82"/>
    </row>
    <row r="23" spans="1:12" ht="13.5" thickBot="1">
      <c r="A23" s="82"/>
      <c r="B23" s="96" t="s">
        <v>122</v>
      </c>
      <c r="C23" s="91" t="s">
        <v>123</v>
      </c>
      <c r="D23" s="82"/>
      <c r="E23" s="130" t="str">
        <f>NVTable_Data_Weeds!E23</f>
        <v>schmo</v>
      </c>
      <c r="F23" s="83"/>
      <c r="G23" s="84"/>
      <c r="H23" s="84"/>
      <c r="I23" s="84"/>
      <c r="J23" s="82"/>
      <c r="K23" s="82"/>
      <c r="L23" s="82"/>
    </row>
    <row r="24" spans="1:12" ht="13.5" thickBot="1">
      <c r="A24" s="82"/>
      <c r="B24" s="134">
        <f>NVTable_Data_Weeds!B24</f>
        <v>10</v>
      </c>
      <c r="C24" s="135">
        <f>NVTable_Data_Weeds!C24</f>
        <v>30</v>
      </c>
      <c r="D24" s="82"/>
      <c r="E24" s="90"/>
      <c r="F24" s="83"/>
      <c r="G24" s="84"/>
      <c r="H24" s="84"/>
      <c r="I24" s="84"/>
      <c r="J24" s="82"/>
      <c r="K24" s="82"/>
      <c r="L24" s="82"/>
    </row>
    <row r="25" spans="1:12" ht="12.75">
      <c r="A25" s="82"/>
      <c r="B25" s="96" t="s">
        <v>131</v>
      </c>
      <c r="C25" s="91" t="s">
        <v>132</v>
      </c>
      <c r="D25" s="82"/>
      <c r="E25" s="90"/>
      <c r="F25" s="83"/>
      <c r="G25" s="84"/>
      <c r="H25" s="84"/>
      <c r="I25" s="84"/>
      <c r="J25" s="82"/>
      <c r="K25" s="82"/>
      <c r="L25" s="82"/>
    </row>
    <row r="26" spans="1:12" ht="12.75">
      <c r="A26" s="82"/>
      <c r="B26" s="136">
        <f>NVTable_Data_Weeds!B26</f>
        <v>3</v>
      </c>
      <c r="C26" s="136">
        <f>NVTable_Data_Weeds!C26</f>
        <v>40</v>
      </c>
      <c r="D26" s="82"/>
      <c r="E26" s="90"/>
      <c r="F26" s="83"/>
      <c r="G26" s="84"/>
      <c r="H26" s="84"/>
      <c r="I26" s="84"/>
      <c r="J26" s="82"/>
      <c r="K26" s="82"/>
      <c r="L26" s="82"/>
    </row>
    <row r="27" spans="1:12" ht="13.5" thickBot="1">
      <c r="A27" s="82"/>
      <c r="B27" s="82"/>
      <c r="C27" s="82"/>
      <c r="D27" s="82"/>
      <c r="E27" s="82"/>
      <c r="F27" s="82"/>
      <c r="G27" s="82"/>
      <c r="H27" s="84"/>
      <c r="I27" s="84"/>
      <c r="J27" s="82"/>
      <c r="K27" s="82"/>
      <c r="L27" s="82"/>
    </row>
    <row r="28" spans="1:12" ht="13.5" thickTop="1">
      <c r="A28" s="105"/>
      <c r="B28" s="105"/>
      <c r="C28" s="105"/>
      <c r="D28" s="105"/>
      <c r="E28" s="105"/>
      <c r="F28" s="105"/>
      <c r="G28" s="105"/>
      <c r="H28" s="106"/>
      <c r="I28" s="106"/>
      <c r="J28" s="105"/>
      <c r="K28" s="105"/>
      <c r="L28" s="105"/>
    </row>
    <row r="29" spans="1:12" ht="12.75">
      <c r="A29" s="107" t="s">
        <v>14</v>
      </c>
      <c r="B29" s="107"/>
      <c r="C29" s="107"/>
      <c r="D29" s="108" t="s">
        <v>18</v>
      </c>
      <c r="E29" s="107"/>
      <c r="F29" s="107"/>
      <c r="G29" s="107"/>
      <c r="H29" s="109"/>
      <c r="I29" s="109"/>
      <c r="J29" s="107"/>
      <c r="K29" s="107"/>
      <c r="L29" s="107"/>
    </row>
    <row r="30" spans="1:12" ht="12.75">
      <c r="A30" s="108" t="s">
        <v>19</v>
      </c>
      <c r="B30" s="107"/>
      <c r="C30" s="107"/>
      <c r="D30" s="108" t="s">
        <v>17</v>
      </c>
      <c r="E30" s="107"/>
      <c r="F30" s="107"/>
      <c r="G30" s="107"/>
      <c r="H30" s="109"/>
      <c r="I30" s="109"/>
      <c r="J30" s="107"/>
      <c r="K30" s="107"/>
      <c r="L30" s="107"/>
    </row>
    <row r="31" spans="1:12" ht="12.75">
      <c r="A31" s="109"/>
      <c r="B31" s="107"/>
      <c r="C31" s="107"/>
      <c r="D31" s="107"/>
      <c r="E31" s="107"/>
      <c r="F31" s="107"/>
      <c r="G31" s="107"/>
      <c r="H31" s="109"/>
      <c r="I31" s="109"/>
      <c r="J31" s="107"/>
      <c r="K31" s="107"/>
      <c r="L31" s="107"/>
    </row>
    <row r="32" spans="1:12" ht="12.75">
      <c r="A32" s="110" t="s">
        <v>41</v>
      </c>
      <c r="B32" s="107"/>
      <c r="C32" s="107"/>
      <c r="D32" s="107"/>
      <c r="E32" s="107"/>
      <c r="F32" s="107"/>
      <c r="G32" s="107"/>
      <c r="H32" s="109"/>
      <c r="I32" s="109"/>
      <c r="J32" s="107"/>
      <c r="K32" s="107"/>
      <c r="L32" s="107"/>
    </row>
    <row r="33" spans="1:12" ht="13.5" thickBot="1">
      <c r="A33" s="249" t="s">
        <v>8</v>
      </c>
      <c r="B33" s="249"/>
      <c r="C33" s="249"/>
      <c r="D33" s="249"/>
      <c r="E33" s="249"/>
      <c r="F33" s="249"/>
      <c r="G33" s="111"/>
      <c r="H33" s="249"/>
      <c r="I33" s="250"/>
      <c r="J33" s="250"/>
      <c r="K33" s="112"/>
      <c r="L33" s="112"/>
    </row>
    <row r="34" spans="1:9" ht="12.75">
      <c r="A34" s="113"/>
      <c r="B34" s="113"/>
      <c r="C34" s="113"/>
      <c r="D34" s="115"/>
      <c r="E34" s="115"/>
      <c r="F34" s="115"/>
      <c r="G34" s="111"/>
      <c r="H34" s="88"/>
      <c r="I34" s="88"/>
    </row>
    <row r="35" spans="1:12" ht="12.75">
      <c r="A35" s="116" t="s">
        <v>6</v>
      </c>
      <c r="B35" s="116" t="s">
        <v>1</v>
      </c>
      <c r="C35" s="111"/>
      <c r="D35" s="111"/>
      <c r="E35" s="111"/>
      <c r="F35" s="111"/>
      <c r="G35" s="111"/>
      <c r="H35" s="116" t="s">
        <v>4</v>
      </c>
      <c r="I35" s="116" t="s">
        <v>5</v>
      </c>
      <c r="J35" s="116"/>
      <c r="K35" s="116" t="s">
        <v>4</v>
      </c>
      <c r="L35" s="137" t="s">
        <v>146</v>
      </c>
    </row>
    <row r="36" spans="1:12" ht="12.75">
      <c r="A36" s="111">
        <v>0</v>
      </c>
      <c r="B36" s="111">
        <v>0.25</v>
      </c>
      <c r="C36" s="111"/>
      <c r="D36" s="111"/>
      <c r="E36" s="111"/>
      <c r="F36" s="111"/>
      <c r="G36" s="111"/>
      <c r="H36" s="111">
        <f>IF($C$8=1,IF(B36&lt;$B$8,0,$B$14),IF($C$8=2,IF(B36&lt;$B$8,1,$B$14),$B$14))</f>
        <v>1</v>
      </c>
      <c r="I36" s="111">
        <f>LOOKUP(H36,$K$36:$K$43,$L$36:$L$43)</f>
        <v>8.50609566721047</v>
      </c>
      <c r="J36" s="111"/>
      <c r="K36" s="118">
        <v>0</v>
      </c>
      <c r="L36" s="118">
        <v>0</v>
      </c>
    </row>
    <row r="37" spans="1:12" ht="12.75">
      <c r="A37" s="111">
        <v>1</v>
      </c>
      <c r="B37" s="111">
        <v>0.26</v>
      </c>
      <c r="C37" s="111"/>
      <c r="D37" s="111"/>
      <c r="E37" s="111"/>
      <c r="F37" s="111"/>
      <c r="G37" s="111"/>
      <c r="H37" s="111">
        <f aca="true" t="shared" si="0" ref="H37:H99">IF($C$8=1,IF(B37&lt;$B$8,0,$B$14),IF($C$8=2,IF(B37&lt;$B$8,1,$B$14),$B$14))</f>
        <v>1</v>
      </c>
      <c r="I37" s="111">
        <f aca="true" t="shared" si="1" ref="I37:I99">LOOKUP(H37,$K$36:$K$43,$L$36:$L$43)</f>
        <v>8.50609566721047</v>
      </c>
      <c r="J37" s="111"/>
      <c r="K37" s="118">
        <v>1</v>
      </c>
      <c r="L37" s="118">
        <f>PSTable_Weeds!K6</f>
        <v>8.50609566721047</v>
      </c>
    </row>
    <row r="38" spans="1:12" ht="12.75">
      <c r="A38" s="111">
        <v>2</v>
      </c>
      <c r="B38" s="111">
        <v>0.27</v>
      </c>
      <c r="C38" s="111"/>
      <c r="D38" s="111"/>
      <c r="E38" s="111"/>
      <c r="F38" s="111"/>
      <c r="G38" s="111"/>
      <c r="H38" s="111">
        <f t="shared" si="0"/>
        <v>1</v>
      </c>
      <c r="I38" s="111">
        <f t="shared" si="1"/>
        <v>8.50609566721047</v>
      </c>
      <c r="J38" s="111"/>
      <c r="K38" s="118">
        <v>2</v>
      </c>
      <c r="L38" s="118">
        <f>PSTable_Weeds!K7</f>
        <v>4.4837302018696015</v>
      </c>
    </row>
    <row r="39" spans="1:12" ht="12.75">
      <c r="A39" s="111">
        <v>3</v>
      </c>
      <c r="B39" s="111">
        <v>0.28</v>
      </c>
      <c r="C39" s="111"/>
      <c r="D39" s="111"/>
      <c r="E39" s="111"/>
      <c r="F39" s="111"/>
      <c r="G39" s="111"/>
      <c r="H39" s="111">
        <f t="shared" si="0"/>
        <v>1</v>
      </c>
      <c r="I39" s="111">
        <f t="shared" si="1"/>
        <v>8.50609566721047</v>
      </c>
      <c r="J39" s="111"/>
      <c r="K39" s="118">
        <v>3</v>
      </c>
      <c r="L39" s="118">
        <f>PSTable_Weeds!K8</f>
        <v>12.989825869080072</v>
      </c>
    </row>
    <row r="40" spans="1:12" ht="12.75">
      <c r="A40" s="111">
        <v>4</v>
      </c>
      <c r="B40" s="111">
        <v>0.29</v>
      </c>
      <c r="C40" s="111"/>
      <c r="D40" s="111"/>
      <c r="E40" s="111"/>
      <c r="F40" s="111"/>
      <c r="G40" s="111"/>
      <c r="H40" s="111">
        <f t="shared" si="0"/>
        <v>1</v>
      </c>
      <c r="I40" s="111">
        <f t="shared" si="1"/>
        <v>8.50609566721047</v>
      </c>
      <c r="J40" s="111"/>
      <c r="K40" s="118"/>
      <c r="L40" s="118"/>
    </row>
    <row r="41" spans="1:12" ht="12.75">
      <c r="A41" s="111">
        <v>5</v>
      </c>
      <c r="B41" s="111">
        <v>0.3</v>
      </c>
      <c r="C41" s="111"/>
      <c r="D41" s="111"/>
      <c r="E41" s="111"/>
      <c r="F41" s="111"/>
      <c r="G41" s="111"/>
      <c r="H41" s="111">
        <f t="shared" si="0"/>
        <v>3</v>
      </c>
      <c r="I41" s="111">
        <f t="shared" si="1"/>
        <v>12.989825869080072</v>
      </c>
      <c r="J41" s="111"/>
      <c r="K41" s="118"/>
      <c r="L41" s="118"/>
    </row>
    <row r="42" spans="1:12" ht="12.75">
      <c r="A42" s="111">
        <v>6</v>
      </c>
      <c r="B42" s="111">
        <v>0.31</v>
      </c>
      <c r="C42" s="111"/>
      <c r="D42" s="111"/>
      <c r="E42" s="111"/>
      <c r="F42" s="111"/>
      <c r="G42" s="111"/>
      <c r="H42" s="111">
        <f t="shared" si="0"/>
        <v>3</v>
      </c>
      <c r="I42" s="111">
        <f t="shared" si="1"/>
        <v>12.989825869080072</v>
      </c>
      <c r="J42" s="111"/>
      <c r="K42" s="118"/>
      <c r="L42" s="118"/>
    </row>
    <row r="43" spans="1:12" ht="12.75">
      <c r="A43" s="111">
        <v>7</v>
      </c>
      <c r="B43" s="111">
        <v>0.32</v>
      </c>
      <c r="C43" s="111"/>
      <c r="D43" s="111"/>
      <c r="E43" s="111"/>
      <c r="F43" s="111"/>
      <c r="G43" s="111"/>
      <c r="H43" s="111">
        <f t="shared" si="0"/>
        <v>3</v>
      </c>
      <c r="I43" s="111">
        <f t="shared" si="1"/>
        <v>12.989825869080072</v>
      </c>
      <c r="J43" s="111"/>
      <c r="K43" s="118"/>
      <c r="L43" s="118"/>
    </row>
    <row r="44" spans="1:12" ht="12.75">
      <c r="A44" s="111">
        <v>8</v>
      </c>
      <c r="B44" s="111">
        <v>0.33</v>
      </c>
      <c r="C44" s="111"/>
      <c r="D44" s="111"/>
      <c r="E44" s="111"/>
      <c r="F44" s="111"/>
      <c r="G44" s="111"/>
      <c r="H44" s="111">
        <f t="shared" si="0"/>
        <v>3</v>
      </c>
      <c r="I44" s="111">
        <f t="shared" si="1"/>
        <v>12.989825869080072</v>
      </c>
      <c r="J44" s="111"/>
      <c r="K44" s="111"/>
      <c r="L44" s="119"/>
    </row>
    <row r="45" spans="1:12" ht="12.75">
      <c r="A45" s="111">
        <v>9</v>
      </c>
      <c r="B45" s="111">
        <v>0.34</v>
      </c>
      <c r="C45" s="111"/>
      <c r="D45" s="111"/>
      <c r="E45" s="111"/>
      <c r="F45" s="111"/>
      <c r="G45" s="111"/>
      <c r="H45" s="111">
        <f t="shared" si="0"/>
        <v>3</v>
      </c>
      <c r="I45" s="111">
        <f t="shared" si="1"/>
        <v>12.989825869080072</v>
      </c>
      <c r="J45" s="111"/>
      <c r="K45" s="111"/>
      <c r="L45" s="119"/>
    </row>
    <row r="46" spans="1:12" ht="12.75">
      <c r="A46" s="111">
        <v>10</v>
      </c>
      <c r="B46" s="111">
        <v>0.35</v>
      </c>
      <c r="C46" s="111"/>
      <c r="D46" s="111"/>
      <c r="E46" s="111"/>
      <c r="F46" s="111"/>
      <c r="G46" s="111"/>
      <c r="H46" s="111">
        <f t="shared" si="0"/>
        <v>3</v>
      </c>
      <c r="I46" s="111">
        <f t="shared" si="1"/>
        <v>12.989825869080072</v>
      </c>
      <c r="J46" s="111"/>
      <c r="K46" s="111"/>
      <c r="L46" s="119"/>
    </row>
    <row r="47" spans="1:12" ht="12.75">
      <c r="A47" s="111">
        <v>11</v>
      </c>
      <c r="B47" s="111">
        <v>0.36</v>
      </c>
      <c r="C47" s="111"/>
      <c r="D47" s="111"/>
      <c r="E47" s="111"/>
      <c r="F47" s="111"/>
      <c r="G47" s="111"/>
      <c r="H47" s="111">
        <f t="shared" si="0"/>
        <v>3</v>
      </c>
      <c r="I47" s="111">
        <f t="shared" si="1"/>
        <v>12.989825869080072</v>
      </c>
      <c r="J47" s="111"/>
      <c r="K47" s="111"/>
      <c r="L47" s="119"/>
    </row>
    <row r="48" spans="1:12" ht="12.75">
      <c r="A48" s="111">
        <v>12</v>
      </c>
      <c r="B48" s="111">
        <v>0.37</v>
      </c>
      <c r="C48" s="111"/>
      <c r="D48" s="111"/>
      <c r="E48" s="111"/>
      <c r="F48" s="111"/>
      <c r="G48" s="111"/>
      <c r="H48" s="111">
        <f t="shared" si="0"/>
        <v>3</v>
      </c>
      <c r="I48" s="111">
        <f t="shared" si="1"/>
        <v>12.989825869080072</v>
      </c>
      <c r="J48" s="111"/>
      <c r="L48" s="119"/>
    </row>
    <row r="49" spans="1:12" ht="12.75">
      <c r="A49" s="111">
        <v>13</v>
      </c>
      <c r="B49" s="111">
        <v>0.38</v>
      </c>
      <c r="C49" s="111"/>
      <c r="D49" s="111"/>
      <c r="E49" s="111"/>
      <c r="F49" s="111"/>
      <c r="G49" s="111"/>
      <c r="H49" s="111">
        <f t="shared" si="0"/>
        <v>3</v>
      </c>
      <c r="I49" s="111">
        <f t="shared" si="1"/>
        <v>12.989825869080072</v>
      </c>
      <c r="J49" s="111"/>
      <c r="K49" s="111"/>
      <c r="L49" s="111"/>
    </row>
    <row r="50" spans="1:12" ht="12.75">
      <c r="A50" s="111">
        <v>14</v>
      </c>
      <c r="B50" s="111">
        <v>0.39</v>
      </c>
      <c r="C50" s="111"/>
      <c r="D50" s="111"/>
      <c r="E50" s="111"/>
      <c r="F50" s="111"/>
      <c r="G50" s="111"/>
      <c r="H50" s="111">
        <f t="shared" si="0"/>
        <v>3</v>
      </c>
      <c r="I50" s="111">
        <f t="shared" si="1"/>
        <v>12.989825869080072</v>
      </c>
      <c r="J50" s="111"/>
      <c r="K50" s="111" t="s">
        <v>10</v>
      </c>
      <c r="L50" s="111"/>
    </row>
    <row r="51" spans="1:12" ht="12.75">
      <c r="A51" s="111">
        <v>15</v>
      </c>
      <c r="B51" s="111">
        <v>0.4</v>
      </c>
      <c r="C51" s="111"/>
      <c r="D51" s="111"/>
      <c r="E51" s="111"/>
      <c r="F51" s="111"/>
      <c r="G51" s="111"/>
      <c r="H51" s="111">
        <f t="shared" si="0"/>
        <v>3</v>
      </c>
      <c r="I51" s="111">
        <f t="shared" si="1"/>
        <v>12.989825869080072</v>
      </c>
      <c r="J51" s="111"/>
      <c r="K51" s="111"/>
      <c r="L51" s="111"/>
    </row>
    <row r="52" spans="1:12" ht="12.75">
      <c r="A52" s="111">
        <v>16</v>
      </c>
      <c r="B52" s="111">
        <v>0.41</v>
      </c>
      <c r="C52" s="111"/>
      <c r="D52" s="111"/>
      <c r="E52" s="111"/>
      <c r="F52" s="111"/>
      <c r="G52" s="111"/>
      <c r="H52" s="111">
        <f t="shared" si="0"/>
        <v>3</v>
      </c>
      <c r="I52" s="111">
        <f t="shared" si="1"/>
        <v>12.989825869080072</v>
      </c>
      <c r="J52" s="111"/>
      <c r="K52" s="111"/>
      <c r="L52" s="111"/>
    </row>
    <row r="53" spans="1:12" ht="12.75">
      <c r="A53" s="111">
        <v>17</v>
      </c>
      <c r="B53" s="111">
        <v>0.42</v>
      </c>
      <c r="C53" s="111"/>
      <c r="D53" s="111"/>
      <c r="E53" s="111"/>
      <c r="F53" s="111"/>
      <c r="G53" s="111"/>
      <c r="H53" s="111">
        <f t="shared" si="0"/>
        <v>3</v>
      </c>
      <c r="I53" s="111">
        <f t="shared" si="1"/>
        <v>12.989825869080072</v>
      </c>
      <c r="J53" s="111"/>
      <c r="K53" s="111"/>
      <c r="L53" s="111"/>
    </row>
    <row r="54" spans="1:12" ht="12.75">
      <c r="A54" s="111">
        <v>18</v>
      </c>
      <c r="B54" s="111">
        <v>0.43</v>
      </c>
      <c r="C54" s="111"/>
      <c r="D54" s="111"/>
      <c r="E54" s="111"/>
      <c r="F54" s="111"/>
      <c r="G54" s="111"/>
      <c r="H54" s="111">
        <f t="shared" si="0"/>
        <v>3</v>
      </c>
      <c r="I54" s="111">
        <f t="shared" si="1"/>
        <v>12.989825869080072</v>
      </c>
      <c r="J54" s="111"/>
      <c r="K54" s="111"/>
      <c r="L54" s="111"/>
    </row>
    <row r="55" spans="1:12" ht="12.75">
      <c r="A55" s="111">
        <v>19</v>
      </c>
      <c r="B55" s="111">
        <v>0.44</v>
      </c>
      <c r="C55" s="111"/>
      <c r="D55" s="111"/>
      <c r="E55" s="111"/>
      <c r="F55" s="111"/>
      <c r="G55" s="111"/>
      <c r="H55" s="111">
        <f t="shared" si="0"/>
        <v>3</v>
      </c>
      <c r="I55" s="111">
        <f t="shared" si="1"/>
        <v>12.989825869080072</v>
      </c>
      <c r="J55" s="111"/>
      <c r="K55" s="111"/>
      <c r="L55" s="111"/>
    </row>
    <row r="56" spans="1:12" ht="12.75">
      <c r="A56" s="111">
        <v>20</v>
      </c>
      <c r="B56" s="111">
        <v>0.45</v>
      </c>
      <c r="C56" s="111"/>
      <c r="D56" s="111"/>
      <c r="E56" s="111"/>
      <c r="F56" s="111"/>
      <c r="G56" s="111"/>
      <c r="H56" s="111">
        <f t="shared" si="0"/>
        <v>3</v>
      </c>
      <c r="I56" s="111">
        <f t="shared" si="1"/>
        <v>12.989825869080072</v>
      </c>
      <c r="J56" s="111"/>
      <c r="K56" s="111"/>
      <c r="L56" s="111"/>
    </row>
    <row r="57" spans="1:12" ht="12.75">
      <c r="A57" s="111">
        <v>21</v>
      </c>
      <c r="B57" s="111">
        <v>0.46</v>
      </c>
      <c r="C57" s="111"/>
      <c r="D57" s="111"/>
      <c r="E57" s="111"/>
      <c r="F57" s="111"/>
      <c r="G57" s="111"/>
      <c r="H57" s="111">
        <f t="shared" si="0"/>
        <v>3</v>
      </c>
      <c r="I57" s="111">
        <f t="shared" si="1"/>
        <v>12.989825869080072</v>
      </c>
      <c r="J57" s="111"/>
      <c r="K57" s="111"/>
      <c r="L57" s="111"/>
    </row>
    <row r="58" spans="1:12" ht="12.75">
      <c r="A58" s="111">
        <v>22</v>
      </c>
      <c r="B58" s="111">
        <v>0.47</v>
      </c>
      <c r="C58" s="111"/>
      <c r="D58" s="111"/>
      <c r="E58" s="111"/>
      <c r="F58" s="111"/>
      <c r="G58" s="111"/>
      <c r="H58" s="111">
        <f t="shared" si="0"/>
        <v>3</v>
      </c>
      <c r="I58" s="111">
        <f t="shared" si="1"/>
        <v>12.989825869080072</v>
      </c>
      <c r="J58" s="111"/>
      <c r="K58" s="111"/>
      <c r="L58" s="111"/>
    </row>
    <row r="59" spans="1:12" ht="12.75">
      <c r="A59" s="111">
        <v>23</v>
      </c>
      <c r="B59" s="111">
        <v>0.48</v>
      </c>
      <c r="C59" s="111"/>
      <c r="D59" s="111"/>
      <c r="E59" s="111"/>
      <c r="F59" s="111"/>
      <c r="G59" s="111"/>
      <c r="H59" s="111">
        <f t="shared" si="0"/>
        <v>3</v>
      </c>
      <c r="I59" s="111">
        <f t="shared" si="1"/>
        <v>12.989825869080072</v>
      </c>
      <c r="J59" s="111"/>
      <c r="K59" s="111"/>
      <c r="L59" s="111"/>
    </row>
    <row r="60" spans="1:12" ht="12.75">
      <c r="A60" s="111">
        <v>24</v>
      </c>
      <c r="B60" s="111">
        <v>0.49</v>
      </c>
      <c r="C60" s="111"/>
      <c r="D60" s="111"/>
      <c r="E60" s="111"/>
      <c r="F60" s="111"/>
      <c r="G60" s="111"/>
      <c r="H60" s="111">
        <f t="shared" si="0"/>
        <v>3</v>
      </c>
      <c r="I60" s="111">
        <f t="shared" si="1"/>
        <v>12.989825869080072</v>
      </c>
      <c r="J60" s="111"/>
      <c r="K60" s="111"/>
      <c r="L60" s="111"/>
    </row>
    <row r="61" spans="1:12" ht="12.75">
      <c r="A61" s="111">
        <v>25</v>
      </c>
      <c r="B61" s="111">
        <v>0.5</v>
      </c>
      <c r="C61" s="111"/>
      <c r="D61" s="111"/>
      <c r="E61" s="111"/>
      <c r="F61" s="111"/>
      <c r="G61" s="111"/>
      <c r="H61" s="111">
        <f t="shared" si="0"/>
        <v>3</v>
      </c>
      <c r="I61" s="111">
        <f t="shared" si="1"/>
        <v>12.989825869080072</v>
      </c>
      <c r="J61" s="111"/>
      <c r="K61" s="111"/>
      <c r="L61" s="111"/>
    </row>
    <row r="62" spans="1:12" ht="12.75">
      <c r="A62" s="111">
        <v>26</v>
      </c>
      <c r="B62" s="111">
        <v>0.51</v>
      </c>
      <c r="C62" s="111"/>
      <c r="D62" s="111"/>
      <c r="E62" s="111"/>
      <c r="F62" s="111"/>
      <c r="G62" s="111"/>
      <c r="H62" s="111">
        <f t="shared" si="0"/>
        <v>3</v>
      </c>
      <c r="I62" s="111">
        <f t="shared" si="1"/>
        <v>12.989825869080072</v>
      </c>
      <c r="J62" s="111"/>
      <c r="K62" s="111"/>
      <c r="L62" s="111"/>
    </row>
    <row r="63" spans="1:12" ht="12.75">
      <c r="A63" s="111">
        <v>27</v>
      </c>
      <c r="B63" s="111">
        <v>0.52</v>
      </c>
      <c r="C63" s="111"/>
      <c r="D63" s="111"/>
      <c r="E63" s="111"/>
      <c r="F63" s="111"/>
      <c r="G63" s="111"/>
      <c r="H63" s="111">
        <f t="shared" si="0"/>
        <v>3</v>
      </c>
      <c r="I63" s="111">
        <f t="shared" si="1"/>
        <v>12.989825869080072</v>
      </c>
      <c r="J63" s="111"/>
      <c r="K63" s="111"/>
      <c r="L63" s="111"/>
    </row>
    <row r="64" spans="1:12" ht="12.75">
      <c r="A64" s="111">
        <v>28</v>
      </c>
      <c r="B64" s="111">
        <v>0.53</v>
      </c>
      <c r="C64" s="111"/>
      <c r="D64" s="111"/>
      <c r="E64" s="111"/>
      <c r="F64" s="111"/>
      <c r="G64" s="111"/>
      <c r="H64" s="111">
        <f t="shared" si="0"/>
        <v>3</v>
      </c>
      <c r="I64" s="111">
        <f t="shared" si="1"/>
        <v>12.989825869080072</v>
      </c>
      <c r="J64" s="111"/>
      <c r="K64" s="111"/>
      <c r="L64" s="111"/>
    </row>
    <row r="65" spans="1:12" ht="12.75">
      <c r="A65" s="111">
        <v>29</v>
      </c>
      <c r="B65" s="111">
        <v>0.54</v>
      </c>
      <c r="C65" s="111"/>
      <c r="D65" s="111"/>
      <c r="E65" s="111"/>
      <c r="F65" s="111"/>
      <c r="G65" s="111"/>
      <c r="H65" s="111">
        <f t="shared" si="0"/>
        <v>3</v>
      </c>
      <c r="I65" s="111">
        <f t="shared" si="1"/>
        <v>12.989825869080072</v>
      </c>
      <c r="J65" s="111"/>
      <c r="K65" s="111"/>
      <c r="L65" s="111"/>
    </row>
    <row r="66" spans="1:12" ht="12.75">
      <c r="A66" s="111">
        <v>30</v>
      </c>
      <c r="B66" s="111">
        <v>0.55</v>
      </c>
      <c r="C66" s="111"/>
      <c r="D66" s="111"/>
      <c r="E66" s="111"/>
      <c r="F66" s="111"/>
      <c r="G66" s="111"/>
      <c r="H66" s="111">
        <f t="shared" si="0"/>
        <v>3</v>
      </c>
      <c r="I66" s="111">
        <f t="shared" si="1"/>
        <v>12.989825869080072</v>
      </c>
      <c r="J66" s="111"/>
      <c r="K66" s="111"/>
      <c r="L66" s="111"/>
    </row>
    <row r="67" spans="1:12" ht="12.75">
      <c r="A67" s="111">
        <v>31</v>
      </c>
      <c r="B67" s="111">
        <v>0.56</v>
      </c>
      <c r="C67" s="111"/>
      <c r="D67" s="111"/>
      <c r="E67" s="111"/>
      <c r="F67" s="111"/>
      <c r="G67" s="111"/>
      <c r="H67" s="111">
        <f t="shared" si="0"/>
        <v>3</v>
      </c>
      <c r="I67" s="111">
        <f t="shared" si="1"/>
        <v>12.989825869080072</v>
      </c>
      <c r="J67" s="111"/>
      <c r="K67" s="111"/>
      <c r="L67" s="111"/>
    </row>
    <row r="68" spans="1:12" ht="12.75">
      <c r="A68" s="111">
        <v>32</v>
      </c>
      <c r="B68" s="111">
        <v>0.57</v>
      </c>
      <c r="C68" s="111"/>
      <c r="D68" s="111"/>
      <c r="E68" s="111"/>
      <c r="F68" s="111"/>
      <c r="G68" s="111"/>
      <c r="H68" s="111">
        <f t="shared" si="0"/>
        <v>3</v>
      </c>
      <c r="I68" s="111">
        <f t="shared" si="1"/>
        <v>12.989825869080072</v>
      </c>
      <c r="J68" s="111"/>
      <c r="K68" s="111"/>
      <c r="L68" s="111"/>
    </row>
    <row r="69" spans="1:12" ht="12.75">
      <c r="A69" s="111">
        <v>33</v>
      </c>
      <c r="B69" s="111">
        <v>0.58</v>
      </c>
      <c r="C69" s="111"/>
      <c r="D69" s="111"/>
      <c r="E69" s="111"/>
      <c r="F69" s="111"/>
      <c r="G69" s="111"/>
      <c r="H69" s="111">
        <f t="shared" si="0"/>
        <v>3</v>
      </c>
      <c r="I69" s="111">
        <f t="shared" si="1"/>
        <v>12.989825869080072</v>
      </c>
      <c r="J69" s="111"/>
      <c r="K69" s="111"/>
      <c r="L69" s="111"/>
    </row>
    <row r="70" spans="1:12" ht="12.75">
      <c r="A70" s="111">
        <v>34</v>
      </c>
      <c r="B70" s="111">
        <v>0.59</v>
      </c>
      <c r="C70" s="111"/>
      <c r="D70" s="111"/>
      <c r="E70" s="111"/>
      <c r="F70" s="111"/>
      <c r="G70" s="111"/>
      <c r="H70" s="111">
        <f t="shared" si="0"/>
        <v>3</v>
      </c>
      <c r="I70" s="111">
        <f t="shared" si="1"/>
        <v>12.989825869080072</v>
      </c>
      <c r="J70" s="111"/>
      <c r="K70" s="111"/>
      <c r="L70" s="111"/>
    </row>
    <row r="71" spans="1:12" ht="12.75">
      <c r="A71" s="111">
        <v>35</v>
      </c>
      <c r="B71" s="111">
        <v>0.6</v>
      </c>
      <c r="C71" s="111"/>
      <c r="D71" s="111"/>
      <c r="E71" s="111"/>
      <c r="F71" s="111"/>
      <c r="G71" s="111"/>
      <c r="H71" s="111">
        <f t="shared" si="0"/>
        <v>3</v>
      </c>
      <c r="I71" s="111">
        <f t="shared" si="1"/>
        <v>12.989825869080072</v>
      </c>
      <c r="J71" s="111"/>
      <c r="K71" s="111"/>
      <c r="L71" s="111"/>
    </row>
    <row r="72" spans="1:12" ht="12.75">
      <c r="A72" s="111">
        <v>36</v>
      </c>
      <c r="B72" s="111">
        <v>0.61</v>
      </c>
      <c r="C72" s="111"/>
      <c r="D72" s="111"/>
      <c r="E72" s="111"/>
      <c r="F72" s="111"/>
      <c r="G72" s="111"/>
      <c r="H72" s="111">
        <f t="shared" si="0"/>
        <v>3</v>
      </c>
      <c r="I72" s="111">
        <f t="shared" si="1"/>
        <v>12.989825869080072</v>
      </c>
      <c r="J72" s="111"/>
      <c r="K72" s="111"/>
      <c r="L72" s="111"/>
    </row>
    <row r="73" spans="1:12" ht="12.75">
      <c r="A73" s="111">
        <v>37</v>
      </c>
      <c r="B73" s="111">
        <v>0.62</v>
      </c>
      <c r="C73" s="111"/>
      <c r="D73" s="111"/>
      <c r="E73" s="111"/>
      <c r="F73" s="111"/>
      <c r="G73" s="111"/>
      <c r="H73" s="111">
        <f t="shared" si="0"/>
        <v>3</v>
      </c>
      <c r="I73" s="111">
        <f t="shared" si="1"/>
        <v>12.989825869080072</v>
      </c>
      <c r="J73" s="111"/>
      <c r="K73" s="111"/>
      <c r="L73" s="111"/>
    </row>
    <row r="74" spans="1:12" ht="12.75">
      <c r="A74" s="111">
        <v>38</v>
      </c>
      <c r="B74" s="111">
        <v>0.63</v>
      </c>
      <c r="C74" s="111"/>
      <c r="D74" s="111"/>
      <c r="E74" s="111"/>
      <c r="F74" s="111"/>
      <c r="G74" s="111"/>
      <c r="H74" s="111">
        <f t="shared" si="0"/>
        <v>3</v>
      </c>
      <c r="I74" s="111">
        <f t="shared" si="1"/>
        <v>12.989825869080072</v>
      </c>
      <c r="J74" s="111"/>
      <c r="K74" s="111"/>
      <c r="L74" s="111"/>
    </row>
    <row r="75" spans="1:12" ht="12.75">
      <c r="A75" s="111">
        <v>39</v>
      </c>
      <c r="B75" s="111">
        <v>0.64</v>
      </c>
      <c r="C75" s="111"/>
      <c r="D75" s="111"/>
      <c r="E75" s="111"/>
      <c r="F75" s="111"/>
      <c r="G75" s="111"/>
      <c r="H75" s="111">
        <f t="shared" si="0"/>
        <v>3</v>
      </c>
      <c r="I75" s="111">
        <f t="shared" si="1"/>
        <v>12.989825869080072</v>
      </c>
      <c r="J75" s="111"/>
      <c r="K75" s="111"/>
      <c r="L75" s="111"/>
    </row>
    <row r="76" spans="1:12" ht="12.75">
      <c r="A76" s="111">
        <v>40</v>
      </c>
      <c r="B76" s="111">
        <v>0.65</v>
      </c>
      <c r="C76" s="111"/>
      <c r="D76" s="111"/>
      <c r="E76" s="111"/>
      <c r="F76" s="111"/>
      <c r="G76" s="111"/>
      <c r="H76" s="111">
        <f t="shared" si="0"/>
        <v>3</v>
      </c>
      <c r="I76" s="111">
        <f t="shared" si="1"/>
        <v>12.989825869080072</v>
      </c>
      <c r="J76" s="111"/>
      <c r="K76" s="111"/>
      <c r="L76" s="111"/>
    </row>
    <row r="77" spans="1:12" ht="12.75">
      <c r="A77" s="111">
        <v>41</v>
      </c>
      <c r="B77" s="111">
        <v>0.66</v>
      </c>
      <c r="C77" s="111"/>
      <c r="D77" s="111"/>
      <c r="E77" s="111"/>
      <c r="F77" s="111"/>
      <c r="G77" s="111"/>
      <c r="H77" s="111">
        <f t="shared" si="0"/>
        <v>3</v>
      </c>
      <c r="I77" s="111">
        <f t="shared" si="1"/>
        <v>12.989825869080072</v>
      </c>
      <c r="J77" s="111"/>
      <c r="K77" s="111"/>
      <c r="L77" s="111"/>
    </row>
    <row r="78" spans="1:12" ht="12.75">
      <c r="A78" s="111">
        <v>42</v>
      </c>
      <c r="B78" s="111">
        <v>0.67</v>
      </c>
      <c r="C78" s="111"/>
      <c r="D78" s="111"/>
      <c r="E78" s="111"/>
      <c r="F78" s="111"/>
      <c r="G78" s="111"/>
      <c r="H78" s="111">
        <f t="shared" si="0"/>
        <v>3</v>
      </c>
      <c r="I78" s="111">
        <f t="shared" si="1"/>
        <v>12.989825869080072</v>
      </c>
      <c r="J78" s="111"/>
      <c r="K78" s="111"/>
      <c r="L78" s="111"/>
    </row>
    <row r="79" spans="1:12" ht="12.75">
      <c r="A79" s="111">
        <v>43</v>
      </c>
      <c r="B79" s="111">
        <v>0.68</v>
      </c>
      <c r="C79" s="111"/>
      <c r="D79" s="111"/>
      <c r="E79" s="111"/>
      <c r="F79" s="111"/>
      <c r="G79" s="111"/>
      <c r="H79" s="111">
        <f t="shared" si="0"/>
        <v>3</v>
      </c>
      <c r="I79" s="111">
        <f t="shared" si="1"/>
        <v>12.989825869080072</v>
      </c>
      <c r="J79" s="111"/>
      <c r="K79" s="111"/>
      <c r="L79" s="111"/>
    </row>
    <row r="80" spans="1:12" ht="12.75">
      <c r="A80" s="111">
        <v>44</v>
      </c>
      <c r="B80" s="111">
        <v>0.69</v>
      </c>
      <c r="C80" s="111"/>
      <c r="D80" s="111"/>
      <c r="E80" s="111"/>
      <c r="F80" s="111"/>
      <c r="G80" s="111"/>
      <c r="H80" s="111">
        <f t="shared" si="0"/>
        <v>3</v>
      </c>
      <c r="I80" s="111">
        <f t="shared" si="1"/>
        <v>12.989825869080072</v>
      </c>
      <c r="J80" s="111"/>
      <c r="K80" s="111"/>
      <c r="L80" s="111"/>
    </row>
    <row r="81" spans="1:12" ht="12.75">
      <c r="A81" s="111">
        <v>45</v>
      </c>
      <c r="B81" s="111">
        <v>0.7</v>
      </c>
      <c r="C81" s="111"/>
      <c r="D81" s="111"/>
      <c r="E81" s="111"/>
      <c r="F81" s="111"/>
      <c r="G81" s="111"/>
      <c r="H81" s="111">
        <f t="shared" si="0"/>
        <v>3</v>
      </c>
      <c r="I81" s="111">
        <f t="shared" si="1"/>
        <v>12.989825869080072</v>
      </c>
      <c r="J81" s="111"/>
      <c r="K81" s="111"/>
      <c r="L81" s="111"/>
    </row>
    <row r="82" spans="1:12" ht="12.75">
      <c r="A82" s="111">
        <v>46</v>
      </c>
      <c r="B82" s="111">
        <v>0.71</v>
      </c>
      <c r="C82" s="111"/>
      <c r="D82" s="111"/>
      <c r="E82" s="111"/>
      <c r="F82" s="111"/>
      <c r="G82" s="111"/>
      <c r="H82" s="111">
        <f t="shared" si="0"/>
        <v>3</v>
      </c>
      <c r="I82" s="111">
        <f t="shared" si="1"/>
        <v>12.989825869080072</v>
      </c>
      <c r="J82" s="111"/>
      <c r="K82" s="111"/>
      <c r="L82" s="111"/>
    </row>
    <row r="83" spans="1:12" ht="12.75">
      <c r="A83" s="111">
        <v>47</v>
      </c>
      <c r="B83" s="111">
        <v>0.72</v>
      </c>
      <c r="C83" s="111"/>
      <c r="D83" s="111"/>
      <c r="E83" s="111"/>
      <c r="F83" s="111"/>
      <c r="G83" s="111"/>
      <c r="H83" s="111">
        <f t="shared" si="0"/>
        <v>3</v>
      </c>
      <c r="I83" s="111">
        <f t="shared" si="1"/>
        <v>12.989825869080072</v>
      </c>
      <c r="J83" s="111"/>
      <c r="K83" s="111"/>
      <c r="L83" s="111"/>
    </row>
    <row r="84" spans="1:12" ht="12.75">
      <c r="A84" s="111">
        <v>48</v>
      </c>
      <c r="B84" s="111">
        <v>0.73</v>
      </c>
      <c r="C84" s="111"/>
      <c r="D84" s="111"/>
      <c r="E84" s="111"/>
      <c r="F84" s="111"/>
      <c r="G84" s="111"/>
      <c r="H84" s="111">
        <f t="shared" si="0"/>
        <v>3</v>
      </c>
      <c r="I84" s="111">
        <f t="shared" si="1"/>
        <v>12.989825869080072</v>
      </c>
      <c r="J84" s="111"/>
      <c r="K84" s="111"/>
      <c r="L84" s="111"/>
    </row>
    <row r="85" spans="1:12" ht="12.75">
      <c r="A85" s="111">
        <v>49</v>
      </c>
      <c r="B85" s="111">
        <v>0.74</v>
      </c>
      <c r="C85" s="111"/>
      <c r="D85" s="111"/>
      <c r="E85" s="111"/>
      <c r="F85" s="111"/>
      <c r="G85" s="111"/>
      <c r="H85" s="111">
        <f t="shared" si="0"/>
        <v>3</v>
      </c>
      <c r="I85" s="111">
        <f t="shared" si="1"/>
        <v>12.989825869080072</v>
      </c>
      <c r="J85" s="111"/>
      <c r="K85" s="111"/>
      <c r="L85" s="111"/>
    </row>
    <row r="86" spans="1:12" ht="12.75">
      <c r="A86" s="111">
        <v>50</v>
      </c>
      <c r="B86" s="111">
        <v>0.75</v>
      </c>
      <c r="C86" s="111"/>
      <c r="D86" s="111"/>
      <c r="E86" s="111"/>
      <c r="F86" s="111"/>
      <c r="G86" s="111"/>
      <c r="H86" s="111">
        <f t="shared" si="0"/>
        <v>3</v>
      </c>
      <c r="I86" s="111">
        <f t="shared" si="1"/>
        <v>12.989825869080072</v>
      </c>
      <c r="J86" s="111"/>
      <c r="K86" s="111"/>
      <c r="L86" s="111"/>
    </row>
    <row r="87" spans="1:12" ht="12.75">
      <c r="A87" s="111">
        <v>51</v>
      </c>
      <c r="B87" s="111">
        <v>0.76</v>
      </c>
      <c r="C87" s="111"/>
      <c r="D87" s="111"/>
      <c r="E87" s="111"/>
      <c r="F87" s="111"/>
      <c r="G87" s="111"/>
      <c r="H87" s="111">
        <f t="shared" si="0"/>
        <v>3</v>
      </c>
      <c r="I87" s="111">
        <f t="shared" si="1"/>
        <v>12.989825869080072</v>
      </c>
      <c r="J87" s="111"/>
      <c r="K87" s="111"/>
      <c r="L87" s="111"/>
    </row>
    <row r="88" spans="1:12" ht="12.75">
      <c r="A88" s="111">
        <v>52</v>
      </c>
      <c r="B88" s="111">
        <v>0.77</v>
      </c>
      <c r="C88" s="111"/>
      <c r="D88" s="111"/>
      <c r="E88" s="111"/>
      <c r="F88" s="111"/>
      <c r="G88" s="111"/>
      <c r="H88" s="111">
        <f t="shared" si="0"/>
        <v>3</v>
      </c>
      <c r="I88" s="111">
        <f t="shared" si="1"/>
        <v>12.989825869080072</v>
      </c>
      <c r="J88" s="111"/>
      <c r="K88" s="111"/>
      <c r="L88" s="111"/>
    </row>
    <row r="89" spans="1:12" ht="12.75">
      <c r="A89" s="111">
        <v>53</v>
      </c>
      <c r="B89" s="111">
        <v>0.78</v>
      </c>
      <c r="C89" s="111"/>
      <c r="D89" s="111"/>
      <c r="E89" s="111"/>
      <c r="F89" s="111"/>
      <c r="G89" s="111"/>
      <c r="H89" s="111">
        <f t="shared" si="0"/>
        <v>3</v>
      </c>
      <c r="I89" s="111">
        <f t="shared" si="1"/>
        <v>12.989825869080072</v>
      </c>
      <c r="J89" s="111"/>
      <c r="K89" s="111"/>
      <c r="L89" s="111"/>
    </row>
    <row r="90" spans="1:12" ht="12.75">
      <c r="A90" s="111">
        <v>54</v>
      </c>
      <c r="B90" s="111">
        <v>0.79</v>
      </c>
      <c r="C90" s="111"/>
      <c r="D90" s="111"/>
      <c r="E90" s="111"/>
      <c r="F90" s="111"/>
      <c r="G90" s="111"/>
      <c r="H90" s="111">
        <f t="shared" si="0"/>
        <v>3</v>
      </c>
      <c r="I90" s="111">
        <f t="shared" si="1"/>
        <v>12.989825869080072</v>
      </c>
      <c r="J90" s="111"/>
      <c r="K90" s="111"/>
      <c r="L90" s="111"/>
    </row>
    <row r="91" spans="1:12" ht="12.75">
      <c r="A91" s="111">
        <v>55</v>
      </c>
      <c r="B91" s="111">
        <v>0.8</v>
      </c>
      <c r="C91" s="111"/>
      <c r="D91" s="111"/>
      <c r="E91" s="111"/>
      <c r="F91" s="111"/>
      <c r="G91" s="111"/>
      <c r="H91" s="111">
        <f t="shared" si="0"/>
        <v>3</v>
      </c>
      <c r="I91" s="111">
        <f t="shared" si="1"/>
        <v>12.989825869080072</v>
      </c>
      <c r="J91" s="111"/>
      <c r="K91" s="111"/>
      <c r="L91" s="111"/>
    </row>
    <row r="92" spans="1:14" ht="12.75">
      <c r="A92" s="111">
        <v>56</v>
      </c>
      <c r="B92" s="111">
        <v>0.81</v>
      </c>
      <c r="C92" s="111"/>
      <c r="D92" s="111"/>
      <c r="E92" s="111"/>
      <c r="F92" s="111"/>
      <c r="G92" s="111"/>
      <c r="H92" s="111">
        <f t="shared" si="0"/>
        <v>3</v>
      </c>
      <c r="I92" s="111">
        <f t="shared" si="1"/>
        <v>12.989825869080072</v>
      </c>
      <c r="J92" s="111"/>
      <c r="K92" s="111"/>
      <c r="L92" s="111"/>
      <c r="N92" s="1"/>
    </row>
    <row r="93" spans="1:14" ht="12.75">
      <c r="A93" s="111">
        <v>57</v>
      </c>
      <c r="B93" s="111">
        <v>0.820000000000001</v>
      </c>
      <c r="C93" s="111"/>
      <c r="D93" s="111"/>
      <c r="E93" s="111"/>
      <c r="F93" s="111"/>
      <c r="G93" s="111"/>
      <c r="H93" s="111">
        <f t="shared" si="0"/>
        <v>3</v>
      </c>
      <c r="I93" s="111">
        <f t="shared" si="1"/>
        <v>12.989825869080072</v>
      </c>
      <c r="J93" s="111"/>
      <c r="K93" s="111"/>
      <c r="L93" s="111"/>
      <c r="N93" s="1"/>
    </row>
    <row r="94" spans="1:14" ht="12.75">
      <c r="A94" s="111">
        <v>58</v>
      </c>
      <c r="B94" s="111">
        <v>0.830000000000001</v>
      </c>
      <c r="C94" s="111"/>
      <c r="D94" s="111"/>
      <c r="E94" s="111"/>
      <c r="F94" s="111"/>
      <c r="G94" s="111"/>
      <c r="H94" s="111">
        <f t="shared" si="0"/>
        <v>3</v>
      </c>
      <c r="I94" s="111">
        <f t="shared" si="1"/>
        <v>12.989825869080072</v>
      </c>
      <c r="J94" s="111"/>
      <c r="K94" s="111"/>
      <c r="L94" s="111"/>
      <c r="N94" s="1"/>
    </row>
    <row r="95" spans="1:14" ht="12.75">
      <c r="A95" s="111">
        <v>59</v>
      </c>
      <c r="B95" s="111">
        <v>0.840000000000001</v>
      </c>
      <c r="C95" s="111"/>
      <c r="D95" s="111"/>
      <c r="E95" s="111"/>
      <c r="F95" s="111"/>
      <c r="G95" s="111"/>
      <c r="H95" s="111">
        <f t="shared" si="0"/>
        <v>3</v>
      </c>
      <c r="I95" s="111">
        <f t="shared" si="1"/>
        <v>12.989825869080072</v>
      </c>
      <c r="J95" s="111"/>
      <c r="K95" s="111"/>
      <c r="L95" s="111"/>
      <c r="N95" s="1"/>
    </row>
    <row r="96" spans="1:14" ht="12.75">
      <c r="A96" s="111">
        <v>60</v>
      </c>
      <c r="B96" s="111">
        <v>0.850000000000001</v>
      </c>
      <c r="C96" s="111"/>
      <c r="D96" s="111"/>
      <c r="E96" s="111"/>
      <c r="F96" s="111"/>
      <c r="G96" s="111"/>
      <c r="H96" s="111">
        <f t="shared" si="0"/>
        <v>3</v>
      </c>
      <c r="I96" s="111">
        <f t="shared" si="1"/>
        <v>12.989825869080072</v>
      </c>
      <c r="J96" s="111"/>
      <c r="K96" s="111"/>
      <c r="L96" s="111"/>
      <c r="N96" s="1"/>
    </row>
    <row r="97" spans="1:14" ht="12.75">
      <c r="A97" s="111">
        <v>61</v>
      </c>
      <c r="B97" s="111">
        <v>0.860000000000001</v>
      </c>
      <c r="C97" s="111"/>
      <c r="D97" s="111"/>
      <c r="E97" s="111"/>
      <c r="F97" s="111"/>
      <c r="G97" s="111"/>
      <c r="H97" s="111">
        <f t="shared" si="0"/>
        <v>3</v>
      </c>
      <c r="I97" s="111">
        <f t="shared" si="1"/>
        <v>12.989825869080072</v>
      </c>
      <c r="J97" s="111"/>
      <c r="K97" s="111"/>
      <c r="L97" s="111"/>
      <c r="N97" s="1"/>
    </row>
    <row r="98" spans="1:12" ht="12.75">
      <c r="A98" s="111">
        <v>62</v>
      </c>
      <c r="B98" s="111">
        <v>0.870000000000001</v>
      </c>
      <c r="C98" s="111"/>
      <c r="D98" s="111"/>
      <c r="E98" s="111"/>
      <c r="F98" s="111"/>
      <c r="G98" s="111"/>
      <c r="H98" s="111">
        <f t="shared" si="0"/>
        <v>3</v>
      </c>
      <c r="I98" s="111">
        <f t="shared" si="1"/>
        <v>12.989825869080072</v>
      </c>
      <c r="J98" s="111"/>
      <c r="K98" s="111"/>
      <c r="L98" s="111"/>
    </row>
    <row r="99" spans="1:12" ht="13.5" thickBot="1">
      <c r="A99" s="120">
        <v>63</v>
      </c>
      <c r="B99" s="120">
        <v>0.880000000000001</v>
      </c>
      <c r="C99" s="111"/>
      <c r="D99" s="111"/>
      <c r="E99" s="111"/>
      <c r="F99" s="111"/>
      <c r="G99" s="111"/>
      <c r="H99" s="111">
        <f t="shared" si="0"/>
        <v>3</v>
      </c>
      <c r="I99" s="111">
        <f t="shared" si="1"/>
        <v>12.989825869080072</v>
      </c>
      <c r="J99" s="111"/>
      <c r="K99" s="111"/>
      <c r="L99" s="111"/>
    </row>
    <row r="100" spans="2:9" ht="12.75">
      <c r="B100" s="138"/>
      <c r="D100" s="138"/>
      <c r="H100" s="121"/>
      <c r="I100" s="121"/>
    </row>
    <row r="101" spans="8:9" ht="12.75">
      <c r="H101" s="121"/>
      <c r="I101" s="121"/>
    </row>
    <row r="102" spans="8:9" ht="12.75">
      <c r="H102" s="121"/>
      <c r="I102" s="121"/>
    </row>
    <row r="103" spans="8:9" ht="12.75">
      <c r="H103" s="121"/>
      <c r="I103" s="121"/>
    </row>
    <row r="104" spans="8:9" ht="12.75">
      <c r="H104" s="121"/>
      <c r="I104" s="121"/>
    </row>
    <row r="105" spans="8:9" ht="12.75">
      <c r="H105" s="121"/>
      <c r="I105" s="121"/>
    </row>
    <row r="106" spans="8:9" ht="12.75">
      <c r="H106" s="121"/>
      <c r="I106" s="121"/>
    </row>
    <row r="107" spans="8:9" ht="12.75">
      <c r="H107" s="88"/>
      <c r="I107" s="88"/>
    </row>
    <row r="108" spans="8:9" ht="12.75">
      <c r="H108" s="88"/>
      <c r="I108" s="88"/>
    </row>
    <row r="109" spans="8:9" ht="12.75">
      <c r="H109" s="88"/>
      <c r="I109" s="88"/>
    </row>
    <row r="110" spans="8:9" ht="12.75">
      <c r="H110" s="88"/>
      <c r="I110" s="88"/>
    </row>
    <row r="111" spans="8:9" ht="12.75">
      <c r="H111" s="88"/>
      <c r="I111" s="88"/>
    </row>
    <row r="112" spans="8:9" ht="12.75">
      <c r="H112" s="88"/>
      <c r="I112" s="88"/>
    </row>
    <row r="113" spans="8:9" ht="12.75">
      <c r="H113" s="88"/>
      <c r="I113" s="88"/>
    </row>
    <row r="114" spans="8:9" ht="12.75">
      <c r="H114" s="88"/>
      <c r="I114" s="88"/>
    </row>
    <row r="115" spans="8:9" ht="12.75">
      <c r="H115" s="88"/>
      <c r="I115" s="88"/>
    </row>
    <row r="116" spans="8:9" ht="12.75">
      <c r="H116" s="88"/>
      <c r="I116" s="88"/>
    </row>
    <row r="117" spans="8:9" ht="12.75">
      <c r="H117" s="88"/>
      <c r="I117" s="88"/>
    </row>
    <row r="118" spans="8:9" ht="12.75">
      <c r="H118" s="88"/>
      <c r="I118" s="88"/>
    </row>
    <row r="119" spans="8:9" ht="12.75">
      <c r="H119" s="88"/>
      <c r="I119" s="88"/>
    </row>
    <row r="120" spans="8:9" ht="12.75">
      <c r="H120" s="88"/>
      <c r="I120" s="88"/>
    </row>
    <row r="121" spans="8:9" ht="12.75">
      <c r="H121" s="88"/>
      <c r="I121" s="88"/>
    </row>
    <row r="122" spans="8:9" ht="12.75">
      <c r="H122" s="88"/>
      <c r="I122" s="88"/>
    </row>
    <row r="123" spans="8:9" ht="12.75">
      <c r="H123" s="88"/>
      <c r="I123" s="88"/>
    </row>
    <row r="124" spans="8:9" ht="12.75">
      <c r="H124" s="88"/>
      <c r="I124" s="88"/>
    </row>
    <row r="125" spans="8:9" ht="12.75">
      <c r="H125" s="88"/>
      <c r="I125" s="88"/>
    </row>
    <row r="126" spans="8:9" ht="12.75">
      <c r="H126" s="88"/>
      <c r="I126" s="88"/>
    </row>
    <row r="127" spans="8:9" ht="12.75">
      <c r="H127" s="88"/>
      <c r="I127" s="88"/>
    </row>
    <row r="128" spans="8:9" ht="12.75">
      <c r="H128" s="88"/>
      <c r="I128" s="88"/>
    </row>
    <row r="129" spans="8:9" ht="12.75">
      <c r="H129" s="88"/>
      <c r="I129" s="88"/>
    </row>
    <row r="130" spans="8:9" ht="12.75">
      <c r="H130" s="88"/>
      <c r="I130" s="88"/>
    </row>
    <row r="131" spans="8:9" ht="12.75">
      <c r="H131" s="88"/>
      <c r="I131" s="88"/>
    </row>
    <row r="132" spans="8:9" ht="12.75">
      <c r="H132" s="88"/>
      <c r="I132" s="88"/>
    </row>
    <row r="133" spans="8:9" ht="12.75">
      <c r="H133" s="88"/>
      <c r="I133" s="88"/>
    </row>
    <row r="134" spans="8:9" ht="12.75">
      <c r="H134" s="88"/>
      <c r="I134" s="88"/>
    </row>
    <row r="135" spans="8:9" ht="12.75">
      <c r="H135" s="88"/>
      <c r="I135" s="88"/>
    </row>
    <row r="136" spans="8:9" ht="12.75">
      <c r="H136" s="88"/>
      <c r="I136" s="88"/>
    </row>
    <row r="137" spans="8:9" ht="12.75">
      <c r="H137" s="88"/>
      <c r="I137" s="88"/>
    </row>
    <row r="138" spans="8:9" ht="12.75">
      <c r="H138" s="88"/>
      <c r="I138" s="88"/>
    </row>
    <row r="139" spans="8:9" ht="12.75">
      <c r="H139" s="88"/>
      <c r="I139" s="88"/>
    </row>
    <row r="140" spans="8:9" ht="12.75">
      <c r="H140" s="88"/>
      <c r="I140" s="88"/>
    </row>
    <row r="141" spans="8:9" ht="12.75">
      <c r="H141" s="88"/>
      <c r="I141" s="88"/>
    </row>
    <row r="142" spans="8:9" ht="12.75">
      <c r="H142" s="88"/>
      <c r="I142" s="88"/>
    </row>
    <row r="143" spans="8:9" ht="12.75">
      <c r="H143" s="88"/>
      <c r="I143" s="88"/>
    </row>
    <row r="144" spans="8:9" ht="12.75">
      <c r="H144" s="88"/>
      <c r="I144" s="88"/>
    </row>
    <row r="145" spans="8:9" ht="12.75">
      <c r="H145" s="88"/>
      <c r="I145" s="88"/>
    </row>
    <row r="146" spans="8:9" ht="12.75">
      <c r="H146" s="88"/>
      <c r="I146" s="88"/>
    </row>
    <row r="147" spans="8:9" ht="12.75">
      <c r="H147" s="88"/>
      <c r="I147" s="88"/>
    </row>
    <row r="148" spans="8:9" ht="12.75">
      <c r="H148" s="88"/>
      <c r="I148" s="88"/>
    </row>
    <row r="149" spans="8:9" ht="12.75">
      <c r="H149" s="88"/>
      <c r="I149" s="88"/>
    </row>
    <row r="150" spans="8:9" ht="12.75">
      <c r="H150" s="88"/>
      <c r="I150" s="88"/>
    </row>
    <row r="151" spans="8:9" ht="12.75">
      <c r="H151" s="88"/>
      <c r="I151" s="88"/>
    </row>
    <row r="152" spans="8:9" ht="12.75">
      <c r="H152" s="88"/>
      <c r="I152" s="88"/>
    </row>
    <row r="153" spans="8:9" ht="12.75">
      <c r="H153" s="88"/>
      <c r="I153" s="88"/>
    </row>
    <row r="154" spans="8:9" ht="12.75">
      <c r="H154" s="88"/>
      <c r="I154" s="88"/>
    </row>
    <row r="155" spans="8:9" ht="12.75">
      <c r="H155" s="88"/>
      <c r="I155" s="88"/>
    </row>
    <row r="156" spans="8:9" ht="12.75">
      <c r="H156" s="88"/>
      <c r="I156" s="88"/>
    </row>
    <row r="157" spans="8:9" ht="12.75">
      <c r="H157" s="88"/>
      <c r="I157" s="88"/>
    </row>
    <row r="158" spans="8:9" ht="12.75">
      <c r="H158" s="88"/>
      <c r="I158" s="88"/>
    </row>
    <row r="159" spans="8:9" ht="12.75">
      <c r="H159" s="88"/>
      <c r="I159" s="88"/>
    </row>
    <row r="160" spans="8:9" ht="12.75">
      <c r="H160" s="88"/>
      <c r="I160" s="88"/>
    </row>
    <row r="161" spans="8:9" ht="12.75">
      <c r="H161" s="88"/>
      <c r="I161" s="88"/>
    </row>
    <row r="162" spans="8:9" ht="12.75">
      <c r="H162" s="88"/>
      <c r="I162" s="88"/>
    </row>
    <row r="163" spans="8:9" ht="12.75">
      <c r="H163" s="88"/>
      <c r="I163" s="88"/>
    </row>
    <row r="164" spans="8:9" ht="12.75">
      <c r="H164" s="88"/>
      <c r="I164" s="88"/>
    </row>
    <row r="165" spans="8:9" ht="12.75">
      <c r="H165" s="88"/>
      <c r="I165" s="88"/>
    </row>
    <row r="166" spans="8:9" ht="12.75">
      <c r="H166" s="88"/>
      <c r="I166" s="88"/>
    </row>
    <row r="167" spans="8:9" ht="12.75">
      <c r="H167" s="88"/>
      <c r="I167" s="88"/>
    </row>
    <row r="168" spans="8:9" ht="12.75">
      <c r="H168" s="88"/>
      <c r="I168" s="88"/>
    </row>
    <row r="169" spans="8:9" ht="12.75">
      <c r="H169" s="88"/>
      <c r="I169" s="88"/>
    </row>
    <row r="170" spans="8:9" ht="12.75">
      <c r="H170" s="88"/>
      <c r="I170" s="88"/>
    </row>
    <row r="171" spans="8:9" ht="12.75">
      <c r="H171" s="88"/>
      <c r="I171" s="88"/>
    </row>
    <row r="172" spans="8:9" ht="12.75">
      <c r="H172" s="88"/>
      <c r="I172" s="88"/>
    </row>
    <row r="173" spans="8:9" ht="12.75">
      <c r="H173" s="88"/>
      <c r="I173" s="88"/>
    </row>
    <row r="174" spans="8:9" ht="12.75">
      <c r="H174" s="88"/>
      <c r="I174" s="88"/>
    </row>
    <row r="175" spans="8:9" ht="12.75">
      <c r="H175" s="88"/>
      <c r="I175" s="88"/>
    </row>
    <row r="176" spans="8:9" ht="12.75">
      <c r="H176" s="88"/>
      <c r="I176" s="88"/>
    </row>
    <row r="177" spans="8:9" ht="12.75">
      <c r="H177" s="88"/>
      <c r="I177" s="88"/>
    </row>
    <row r="178" spans="8:9" ht="12.75">
      <c r="H178" s="88"/>
      <c r="I178" s="88"/>
    </row>
    <row r="179" spans="8:9" ht="12.75">
      <c r="H179" s="88"/>
      <c r="I179" s="88"/>
    </row>
    <row r="180" spans="8:9" ht="12.75">
      <c r="H180" s="88"/>
      <c r="I180" s="88"/>
    </row>
    <row r="181" spans="8:9" ht="12.75">
      <c r="H181" s="88"/>
      <c r="I181" s="88"/>
    </row>
    <row r="182" spans="8:9" ht="12.75">
      <c r="H182" s="88"/>
      <c r="I182" s="88"/>
    </row>
    <row r="183" spans="8:9" ht="12.75">
      <c r="H183" s="88"/>
      <c r="I183" s="88"/>
    </row>
    <row r="184" spans="8:9" ht="12.75">
      <c r="H184" s="88"/>
      <c r="I184" s="88"/>
    </row>
    <row r="185" spans="8:9" ht="12.75">
      <c r="H185" s="88"/>
      <c r="I185" s="88"/>
    </row>
    <row r="186" spans="8:9" ht="12.75">
      <c r="H186" s="88"/>
      <c r="I186" s="88"/>
    </row>
    <row r="187" spans="8:9" ht="12.75">
      <c r="H187" s="88"/>
      <c r="I187" s="88"/>
    </row>
    <row r="188" spans="8:9" ht="12.75">
      <c r="H188" s="88"/>
      <c r="I188" s="88"/>
    </row>
    <row r="189" spans="8:9" ht="12.75">
      <c r="H189" s="88"/>
      <c r="I189" s="88"/>
    </row>
    <row r="190" spans="8:9" ht="12.75">
      <c r="H190" s="88"/>
      <c r="I190" s="88"/>
    </row>
    <row r="191" spans="8:9" ht="12.75">
      <c r="H191" s="88"/>
      <c r="I191" s="88"/>
    </row>
    <row r="192" spans="8:9" ht="12.75">
      <c r="H192" s="88"/>
      <c r="I192" s="88"/>
    </row>
    <row r="193" spans="8:9" ht="12.75">
      <c r="H193" s="88"/>
      <c r="I193" s="88"/>
    </row>
    <row r="194" spans="8:9" ht="12.75">
      <c r="H194" s="88"/>
      <c r="I194" s="88"/>
    </row>
    <row r="195" spans="8:9" ht="12.75">
      <c r="H195" s="88"/>
      <c r="I195" s="88"/>
    </row>
    <row r="196" spans="8:9" ht="12.75">
      <c r="H196" s="88"/>
      <c r="I196" s="88"/>
    </row>
    <row r="197" spans="8:9" ht="12.75">
      <c r="H197" s="88"/>
      <c r="I197" s="88"/>
    </row>
    <row r="198" spans="8:9" ht="12.75">
      <c r="H198" s="88"/>
      <c r="I198" s="88"/>
    </row>
    <row r="199" spans="8:9" ht="12.75">
      <c r="H199" s="88"/>
      <c r="I199" s="88"/>
    </row>
    <row r="200" spans="8:9" ht="12.75">
      <c r="H200" s="88"/>
      <c r="I200" s="88"/>
    </row>
    <row r="201" spans="8:9" ht="12.75">
      <c r="H201" s="88"/>
      <c r="I201" s="88"/>
    </row>
    <row r="202" spans="8:9" ht="12.75">
      <c r="H202" s="88"/>
      <c r="I202" s="88"/>
    </row>
    <row r="203" spans="8:9" ht="12.75">
      <c r="H203" s="88"/>
      <c r="I203" s="88"/>
    </row>
    <row r="204" spans="8:9" ht="12.75">
      <c r="H204" s="88"/>
      <c r="I204" s="88"/>
    </row>
    <row r="205" spans="8:9" ht="12.75">
      <c r="H205" s="88"/>
      <c r="I205" s="88"/>
    </row>
    <row r="206" spans="8:9" ht="12.75">
      <c r="H206" s="88"/>
      <c r="I206" s="88"/>
    </row>
    <row r="207" spans="8:9" ht="12.75">
      <c r="H207" s="88"/>
      <c r="I207" s="88"/>
    </row>
    <row r="208" spans="8:9" ht="12.75">
      <c r="H208" s="88"/>
      <c r="I208" s="88"/>
    </row>
    <row r="209" spans="8:9" ht="12.75">
      <c r="H209" s="88"/>
      <c r="I209" s="88"/>
    </row>
    <row r="210" spans="8:9" ht="12.75">
      <c r="H210" s="88"/>
      <c r="I210" s="88"/>
    </row>
    <row r="211" spans="8:9" ht="12.75">
      <c r="H211" s="88"/>
      <c r="I211" s="88"/>
    </row>
    <row r="212" spans="8:9" ht="12.75">
      <c r="H212" s="88"/>
      <c r="I212" s="88"/>
    </row>
    <row r="213" spans="8:9" ht="12.75">
      <c r="H213" s="88"/>
      <c r="I213" s="88"/>
    </row>
    <row r="214" spans="8:9" ht="12.75">
      <c r="H214" s="88"/>
      <c r="I214" s="88"/>
    </row>
    <row r="215" spans="8:9" ht="12.75">
      <c r="H215" s="88"/>
      <c r="I215" s="88"/>
    </row>
    <row r="216" spans="8:9" ht="12.75">
      <c r="H216" s="88"/>
      <c r="I216" s="88"/>
    </row>
    <row r="217" spans="8:9" ht="12.75">
      <c r="H217" s="88"/>
      <c r="I217" s="88"/>
    </row>
    <row r="218" spans="8:9" ht="12.75">
      <c r="H218" s="88"/>
      <c r="I218" s="88"/>
    </row>
    <row r="219" spans="8:9" ht="12.75">
      <c r="H219" s="88"/>
      <c r="I219" s="88"/>
    </row>
    <row r="220" spans="8:9" ht="12.75">
      <c r="H220" s="88"/>
      <c r="I220" s="88"/>
    </row>
    <row r="221" spans="8:9" ht="12.75">
      <c r="H221" s="88"/>
      <c r="I221" s="88"/>
    </row>
    <row r="222" spans="8:9" ht="12.75">
      <c r="H222" s="88"/>
      <c r="I222" s="88"/>
    </row>
    <row r="223" spans="8:9" ht="12.75">
      <c r="H223" s="88"/>
      <c r="I223" s="88"/>
    </row>
    <row r="224" spans="8:9" ht="12.75">
      <c r="H224" s="88"/>
      <c r="I224" s="88"/>
    </row>
    <row r="225" spans="8:9" ht="12.75">
      <c r="H225" s="88"/>
      <c r="I225" s="88"/>
    </row>
    <row r="226" spans="8:9" ht="12.75">
      <c r="H226" s="88"/>
      <c r="I226" s="88"/>
    </row>
    <row r="227" spans="8:9" ht="12.75">
      <c r="H227" s="88"/>
      <c r="I227" s="88"/>
    </row>
    <row r="228" spans="8:9" ht="12.75">
      <c r="H228" s="88"/>
      <c r="I228" s="88"/>
    </row>
    <row r="229" spans="8:9" ht="12.75">
      <c r="H229" s="88"/>
      <c r="I229" s="88"/>
    </row>
    <row r="230" spans="8:9" ht="12.75">
      <c r="H230" s="88"/>
      <c r="I230" s="88"/>
    </row>
    <row r="231" spans="8:9" ht="12.75">
      <c r="H231" s="88"/>
      <c r="I231" s="88"/>
    </row>
    <row r="232" spans="8:9" ht="12.75">
      <c r="H232" s="88"/>
      <c r="I232" s="88"/>
    </row>
    <row r="233" spans="8:9" ht="12.75">
      <c r="H233" s="88"/>
      <c r="I233" s="88"/>
    </row>
    <row r="234" spans="8:9" ht="12.75">
      <c r="H234" s="88"/>
      <c r="I234" s="88"/>
    </row>
    <row r="235" spans="8:9" ht="12.75">
      <c r="H235" s="88"/>
      <c r="I235" s="88"/>
    </row>
    <row r="236" spans="8:9" ht="12.75">
      <c r="H236" s="88"/>
      <c r="I236" s="88"/>
    </row>
    <row r="237" spans="8:9" ht="12.75">
      <c r="H237" s="88"/>
      <c r="I237" s="88"/>
    </row>
    <row r="238" spans="8:9" ht="12.75">
      <c r="H238" s="88"/>
      <c r="I238" s="88"/>
    </row>
    <row r="239" spans="8:9" ht="12.75">
      <c r="H239" s="88"/>
      <c r="I239" s="88"/>
    </row>
    <row r="240" spans="8:9" ht="12.75">
      <c r="H240" s="88"/>
      <c r="I240" s="88"/>
    </row>
    <row r="241" spans="8:9" ht="12.75">
      <c r="H241" s="88"/>
      <c r="I241" s="88"/>
    </row>
    <row r="242" spans="8:9" ht="12.75">
      <c r="H242" s="88"/>
      <c r="I242" s="88"/>
    </row>
    <row r="243" spans="8:9" ht="12.75">
      <c r="H243" s="88"/>
      <c r="I243" s="88"/>
    </row>
    <row r="244" spans="8:9" ht="12.75">
      <c r="H244" s="88"/>
      <c r="I244" s="88"/>
    </row>
    <row r="245" spans="8:9" ht="12.75">
      <c r="H245" s="88"/>
      <c r="I245" s="88"/>
    </row>
    <row r="246" spans="8:9" ht="12.75">
      <c r="H246" s="88"/>
      <c r="I246" s="88"/>
    </row>
    <row r="247" spans="8:9" ht="12.75">
      <c r="H247" s="88"/>
      <c r="I247" s="88"/>
    </row>
    <row r="248" spans="8:9" ht="12.75">
      <c r="H248" s="88"/>
      <c r="I248" s="88"/>
    </row>
    <row r="249" spans="8:9" ht="12.75">
      <c r="H249" s="88"/>
      <c r="I249" s="88"/>
    </row>
    <row r="250" spans="8:9" ht="12.75">
      <c r="H250" s="88"/>
      <c r="I250" s="88"/>
    </row>
    <row r="251" spans="8:9" ht="12.75">
      <c r="H251" s="88"/>
      <c r="I251" s="88"/>
    </row>
    <row r="252" spans="8:9" ht="12.75">
      <c r="H252" s="88"/>
      <c r="I252" s="88"/>
    </row>
    <row r="253" spans="8:9" ht="12.75">
      <c r="H253" s="88"/>
      <c r="I253" s="88"/>
    </row>
    <row r="254" spans="8:9" ht="12.75">
      <c r="H254" s="88"/>
      <c r="I254" s="88"/>
    </row>
    <row r="255" spans="8:9" ht="12.75">
      <c r="H255" s="88"/>
      <c r="I255" s="88"/>
    </row>
    <row r="256" spans="8:9" ht="12.75">
      <c r="H256" s="88"/>
      <c r="I256" s="88"/>
    </row>
    <row r="257" spans="8:9" ht="12.75">
      <c r="H257" s="88"/>
      <c r="I257" s="88"/>
    </row>
    <row r="258" spans="8:9" ht="12.75">
      <c r="H258" s="88"/>
      <c r="I258" s="88"/>
    </row>
    <row r="259" spans="8:9" ht="12.75">
      <c r="H259" s="88"/>
      <c r="I259" s="88"/>
    </row>
    <row r="260" spans="8:9" ht="12.75">
      <c r="H260" s="88"/>
      <c r="I260" s="88"/>
    </row>
    <row r="261" spans="8:9" ht="12.75">
      <c r="H261" s="88"/>
      <c r="I261" s="88"/>
    </row>
    <row r="262" spans="8:9" ht="12.75">
      <c r="H262" s="88"/>
      <c r="I262" s="88"/>
    </row>
    <row r="263" spans="8:9" ht="12.75">
      <c r="H263" s="88"/>
      <c r="I263" s="88"/>
    </row>
    <row r="264" spans="8:9" ht="12.75">
      <c r="H264" s="88"/>
      <c r="I264" s="88"/>
    </row>
    <row r="265" spans="8:9" ht="12.75">
      <c r="H265" s="88"/>
      <c r="I265" s="88"/>
    </row>
    <row r="266" spans="8:9" ht="12.75">
      <c r="H266" s="88"/>
      <c r="I266" s="88"/>
    </row>
    <row r="267" spans="8:9" ht="12.75">
      <c r="H267" s="88"/>
      <c r="I267" s="88"/>
    </row>
    <row r="268" spans="8:9" ht="12.75">
      <c r="H268" s="88"/>
      <c r="I268" s="88"/>
    </row>
    <row r="269" spans="8:9" ht="12.75">
      <c r="H269" s="88"/>
      <c r="I269" s="88"/>
    </row>
    <row r="270" spans="8:9" ht="12.75">
      <c r="H270" s="88"/>
      <c r="I270" s="88"/>
    </row>
    <row r="271" spans="8:9" ht="12.75">
      <c r="H271" s="88"/>
      <c r="I271" s="88"/>
    </row>
    <row r="272" spans="8:9" ht="12.75">
      <c r="H272" s="88"/>
      <c r="I272" s="88"/>
    </row>
    <row r="273" spans="8:9" ht="12.75">
      <c r="H273" s="88"/>
      <c r="I273" s="88"/>
    </row>
    <row r="274" spans="8:9" ht="12.75">
      <c r="H274" s="88"/>
      <c r="I274" s="88"/>
    </row>
    <row r="275" spans="8:9" ht="12.75">
      <c r="H275" s="88"/>
      <c r="I275" s="88"/>
    </row>
    <row r="276" spans="8:9" ht="12.75">
      <c r="H276" s="88"/>
      <c r="I276" s="88"/>
    </row>
    <row r="277" spans="8:9" ht="12.75">
      <c r="H277" s="88"/>
      <c r="I277" s="88"/>
    </row>
    <row r="278" spans="8:9" ht="12.75">
      <c r="H278" s="88"/>
      <c r="I278" s="88"/>
    </row>
    <row r="279" spans="8:9" ht="12.75">
      <c r="H279" s="88"/>
      <c r="I279" s="88"/>
    </row>
    <row r="280" spans="8:9" ht="12.75">
      <c r="H280" s="88"/>
      <c r="I280" s="88"/>
    </row>
    <row r="281" spans="8:9" ht="12.75">
      <c r="H281" s="88"/>
      <c r="I281" s="88"/>
    </row>
    <row r="282" spans="8:9" ht="12.75">
      <c r="H282" s="88"/>
      <c r="I282" s="88"/>
    </row>
    <row r="283" spans="8:9" ht="12.75">
      <c r="H283" s="88"/>
      <c r="I283" s="88"/>
    </row>
    <row r="284" spans="8:9" ht="12.75">
      <c r="H284" s="88"/>
      <c r="I284" s="88"/>
    </row>
    <row r="285" spans="8:9" ht="12.75">
      <c r="H285" s="88"/>
      <c r="I285" s="88"/>
    </row>
    <row r="286" spans="8:9" ht="12.75">
      <c r="H286" s="88"/>
      <c r="I286" s="88"/>
    </row>
    <row r="287" spans="8:9" ht="12.75">
      <c r="H287" s="88"/>
      <c r="I287" s="88"/>
    </row>
    <row r="288" spans="8:9" ht="12.75">
      <c r="H288" s="88"/>
      <c r="I288" s="88"/>
    </row>
    <row r="289" spans="8:9" ht="12.75">
      <c r="H289" s="88"/>
      <c r="I289" s="88"/>
    </row>
    <row r="290" spans="8:9" ht="12.75">
      <c r="H290" s="88"/>
      <c r="I290" s="88"/>
    </row>
    <row r="291" spans="8:9" ht="12.75">
      <c r="H291" s="88"/>
      <c r="I291" s="88"/>
    </row>
    <row r="292" spans="8:9" ht="12.75">
      <c r="H292" s="88"/>
      <c r="I292" s="88"/>
    </row>
    <row r="293" spans="8:9" ht="12.75">
      <c r="H293" s="88"/>
      <c r="I293" s="88"/>
    </row>
    <row r="294" spans="8:9" ht="12.75">
      <c r="H294" s="88"/>
      <c r="I294" s="88"/>
    </row>
    <row r="295" spans="8:9" ht="12.75">
      <c r="H295" s="88"/>
      <c r="I295" s="88"/>
    </row>
    <row r="296" spans="8:9" ht="12.75">
      <c r="H296" s="88"/>
      <c r="I296" s="88"/>
    </row>
    <row r="297" spans="8:9" ht="12.75">
      <c r="H297" s="88"/>
      <c r="I297" s="88"/>
    </row>
    <row r="298" spans="8:9" ht="12.75">
      <c r="H298" s="88"/>
      <c r="I298" s="88"/>
    </row>
    <row r="299" spans="8:9" ht="12.75">
      <c r="H299" s="88"/>
      <c r="I299" s="88"/>
    </row>
    <row r="300" spans="8:9" ht="12.75">
      <c r="H300" s="88"/>
      <c r="I300" s="88"/>
    </row>
    <row r="301" spans="8:9" ht="12.75">
      <c r="H301" s="88"/>
      <c r="I301" s="88"/>
    </row>
    <row r="302" spans="8:9" ht="12.75">
      <c r="H302" s="88"/>
      <c r="I302" s="88"/>
    </row>
    <row r="303" spans="8:9" ht="12.75">
      <c r="H303" s="88"/>
      <c r="I303" s="88"/>
    </row>
    <row r="304" spans="8:9" ht="12.75">
      <c r="H304" s="88"/>
      <c r="I304" s="88"/>
    </row>
    <row r="305" spans="8:9" ht="12.75">
      <c r="H305" s="88"/>
      <c r="I305" s="88"/>
    </row>
    <row r="306" spans="8:9" ht="12.75">
      <c r="H306" s="88"/>
      <c r="I306" s="88"/>
    </row>
    <row r="307" spans="8:9" ht="12.75">
      <c r="H307" s="88"/>
      <c r="I307" s="88"/>
    </row>
    <row r="308" spans="8:9" ht="12.75">
      <c r="H308" s="88"/>
      <c r="I308" s="88"/>
    </row>
    <row r="309" spans="8:9" ht="12.75">
      <c r="H309" s="88"/>
      <c r="I309" s="88"/>
    </row>
    <row r="310" spans="8:9" ht="12.75">
      <c r="H310" s="88"/>
      <c r="I310" s="88"/>
    </row>
    <row r="311" spans="8:9" ht="12.75">
      <c r="H311" s="88"/>
      <c r="I311" s="88"/>
    </row>
    <row r="312" spans="8:9" ht="12.75">
      <c r="H312" s="88"/>
      <c r="I312" s="88"/>
    </row>
    <row r="313" spans="8:9" ht="12.75">
      <c r="H313" s="88"/>
      <c r="I313" s="88"/>
    </row>
    <row r="314" spans="8:9" ht="12.75">
      <c r="H314" s="88"/>
      <c r="I314" s="88"/>
    </row>
    <row r="315" spans="8:9" ht="12.75">
      <c r="H315" s="88"/>
      <c r="I315" s="88"/>
    </row>
    <row r="316" spans="8:9" ht="12.75">
      <c r="H316" s="88"/>
      <c r="I316" s="88"/>
    </row>
    <row r="317" spans="8:9" ht="12.75">
      <c r="H317" s="88"/>
      <c r="I317" s="88"/>
    </row>
    <row r="318" spans="8:9" ht="12.75">
      <c r="H318" s="88"/>
      <c r="I318" s="88"/>
    </row>
    <row r="319" spans="8:9" ht="12.75">
      <c r="H319" s="88"/>
      <c r="I319" s="88"/>
    </row>
    <row r="320" spans="8:9" ht="12.75">
      <c r="H320" s="88"/>
      <c r="I320" s="88"/>
    </row>
    <row r="321" spans="8:9" ht="12.75">
      <c r="H321" s="88"/>
      <c r="I321" s="88"/>
    </row>
    <row r="322" spans="8:9" ht="12.75">
      <c r="H322" s="88"/>
      <c r="I322" s="88"/>
    </row>
    <row r="323" spans="8:9" ht="12.75">
      <c r="H323" s="88"/>
      <c r="I323" s="88"/>
    </row>
    <row r="324" spans="8:9" ht="12.75">
      <c r="H324" s="88"/>
      <c r="I324" s="88"/>
    </row>
    <row r="325" spans="8:9" ht="12.75">
      <c r="H325" s="88"/>
      <c r="I325" s="88"/>
    </row>
    <row r="326" spans="8:9" ht="12.75">
      <c r="H326" s="88"/>
      <c r="I326" s="88"/>
    </row>
    <row r="327" spans="8:9" ht="12.75">
      <c r="H327" s="88"/>
      <c r="I327" s="88"/>
    </row>
    <row r="328" spans="8:9" ht="12.75">
      <c r="H328" s="88"/>
      <c r="I328" s="88"/>
    </row>
    <row r="329" spans="8:9" ht="12.75">
      <c r="H329" s="88"/>
      <c r="I329" s="88"/>
    </row>
    <row r="330" spans="8:9" ht="12.75">
      <c r="H330" s="88"/>
      <c r="I330" s="88"/>
    </row>
    <row r="331" spans="8:9" ht="12.75">
      <c r="H331" s="88"/>
      <c r="I331" s="88"/>
    </row>
    <row r="332" spans="8:9" ht="12.75">
      <c r="H332" s="88"/>
      <c r="I332" s="88"/>
    </row>
    <row r="333" spans="8:9" ht="12.75">
      <c r="H333" s="88"/>
      <c r="I333" s="88"/>
    </row>
    <row r="334" spans="8:9" ht="12.75">
      <c r="H334" s="88"/>
      <c r="I334" s="88"/>
    </row>
    <row r="335" spans="8:9" ht="12.75">
      <c r="H335" s="88"/>
      <c r="I335" s="88"/>
    </row>
    <row r="336" spans="8:9" ht="12.75">
      <c r="H336" s="88"/>
      <c r="I336" s="88"/>
    </row>
    <row r="337" spans="8:9" ht="12.75">
      <c r="H337" s="88"/>
      <c r="I337" s="88"/>
    </row>
    <row r="338" spans="8:9" ht="12.75">
      <c r="H338" s="88"/>
      <c r="I338" s="88"/>
    </row>
    <row r="339" spans="8:9" ht="12.75">
      <c r="H339" s="88"/>
      <c r="I339" s="88"/>
    </row>
    <row r="340" spans="8:9" ht="12.75">
      <c r="H340" s="88"/>
      <c r="I340" s="88"/>
    </row>
    <row r="341" spans="8:9" ht="12.75">
      <c r="H341" s="88"/>
      <c r="I341" s="88"/>
    </row>
    <row r="342" spans="8:9" ht="12.75">
      <c r="H342" s="88"/>
      <c r="I342" s="88"/>
    </row>
    <row r="343" spans="8:9" ht="12.75">
      <c r="H343" s="88"/>
      <c r="I343" s="88"/>
    </row>
    <row r="344" spans="8:9" ht="12.75">
      <c r="H344" s="88"/>
      <c r="I344" s="88"/>
    </row>
    <row r="345" spans="8:9" ht="12.75">
      <c r="H345" s="88"/>
      <c r="I345" s="88"/>
    </row>
    <row r="346" spans="8:9" ht="12.75">
      <c r="H346" s="88"/>
      <c r="I346" s="88"/>
    </row>
    <row r="347" spans="8:9" ht="12.75">
      <c r="H347" s="88"/>
      <c r="I347" s="88"/>
    </row>
    <row r="348" spans="8:9" ht="12.75">
      <c r="H348" s="88"/>
      <c r="I348" s="88"/>
    </row>
    <row r="349" spans="8:9" ht="12.75">
      <c r="H349" s="88"/>
      <c r="I349" s="88"/>
    </row>
    <row r="350" spans="8:9" ht="12.75">
      <c r="H350" s="88"/>
      <c r="I350" s="88"/>
    </row>
    <row r="351" spans="8:9" ht="12.75">
      <c r="H351" s="88"/>
      <c r="I351" s="88"/>
    </row>
    <row r="352" spans="8:9" ht="12.75">
      <c r="H352" s="88"/>
      <c r="I352" s="88"/>
    </row>
    <row r="353" spans="8:9" ht="12.75">
      <c r="H353" s="88"/>
      <c r="I353" s="88"/>
    </row>
    <row r="354" spans="8:9" ht="12.75">
      <c r="H354" s="88"/>
      <c r="I354" s="88"/>
    </row>
    <row r="355" spans="8:9" ht="12.75">
      <c r="H355" s="88"/>
      <c r="I355" s="88"/>
    </row>
    <row r="356" spans="8:9" ht="12.75">
      <c r="H356" s="88"/>
      <c r="I356" s="88"/>
    </row>
    <row r="357" spans="8:9" ht="12.75">
      <c r="H357" s="88"/>
      <c r="I357" s="88"/>
    </row>
    <row r="358" spans="8:9" ht="12.75">
      <c r="H358" s="88"/>
      <c r="I358" s="88"/>
    </row>
    <row r="359" spans="8:9" ht="12.75">
      <c r="H359" s="88"/>
      <c r="I359" s="88"/>
    </row>
    <row r="360" spans="8:9" ht="12.75">
      <c r="H360" s="88"/>
      <c r="I360" s="88"/>
    </row>
    <row r="361" spans="8:9" ht="12.75">
      <c r="H361" s="88"/>
      <c r="I361" s="88"/>
    </row>
    <row r="362" spans="8:9" ht="12.75">
      <c r="H362" s="88"/>
      <c r="I362" s="88"/>
    </row>
    <row r="363" spans="8:9" ht="12.75">
      <c r="H363" s="88"/>
      <c r="I363" s="88"/>
    </row>
    <row r="364" spans="8:9" ht="12.75">
      <c r="H364" s="88"/>
      <c r="I364" s="88"/>
    </row>
    <row r="365" spans="8:9" ht="12.75">
      <c r="H365" s="88"/>
      <c r="I365" s="88"/>
    </row>
    <row r="366" spans="8:9" ht="12.75">
      <c r="H366" s="88"/>
      <c r="I366" s="88"/>
    </row>
    <row r="367" spans="8:9" ht="12.75">
      <c r="H367" s="88"/>
      <c r="I367" s="88"/>
    </row>
    <row r="368" spans="8:9" ht="12.75">
      <c r="H368" s="88"/>
      <c r="I368" s="88"/>
    </row>
    <row r="369" spans="8:9" ht="12.75">
      <c r="H369" s="88"/>
      <c r="I369" s="88"/>
    </row>
    <row r="370" spans="8:9" ht="12.75">
      <c r="H370" s="88"/>
      <c r="I370" s="88"/>
    </row>
    <row r="371" spans="8:9" ht="12.75">
      <c r="H371" s="88"/>
      <c r="I371" s="88"/>
    </row>
    <row r="372" spans="8:9" ht="12.75">
      <c r="H372" s="88"/>
      <c r="I372" s="88"/>
    </row>
    <row r="373" spans="8:9" ht="12.75">
      <c r="H373" s="88"/>
      <c r="I373" s="88"/>
    </row>
    <row r="374" spans="8:9" ht="12.75">
      <c r="H374" s="88"/>
      <c r="I374" s="88"/>
    </row>
    <row r="375" spans="8:9" ht="12.75">
      <c r="H375" s="88"/>
      <c r="I375" s="88"/>
    </row>
    <row r="376" spans="8:9" ht="12.75">
      <c r="H376" s="88"/>
      <c r="I376" s="88"/>
    </row>
    <row r="377" spans="8:9" ht="12.75">
      <c r="H377" s="88"/>
      <c r="I377" s="88"/>
    </row>
    <row r="378" spans="8:9" ht="12.75">
      <c r="H378" s="88"/>
      <c r="I378" s="88"/>
    </row>
    <row r="379" spans="8:9" ht="12.75">
      <c r="H379" s="88"/>
      <c r="I379" s="88"/>
    </row>
    <row r="380" spans="8:9" ht="12.75">
      <c r="H380" s="88"/>
      <c r="I380" s="88"/>
    </row>
    <row r="381" spans="8:9" ht="12.75">
      <c r="H381" s="88"/>
      <c r="I381" s="88"/>
    </row>
    <row r="382" spans="8:9" ht="12.75">
      <c r="H382" s="88"/>
      <c r="I382" s="88"/>
    </row>
    <row r="383" spans="8:9" ht="12.75">
      <c r="H383" s="88"/>
      <c r="I383" s="88"/>
    </row>
    <row r="384" spans="8:9" ht="12.75">
      <c r="H384" s="88"/>
      <c r="I384" s="88"/>
    </row>
    <row r="385" spans="8:9" ht="12.75">
      <c r="H385" s="88"/>
      <c r="I385" s="88"/>
    </row>
    <row r="386" spans="8:9" ht="12.75">
      <c r="H386" s="88"/>
      <c r="I386" s="88"/>
    </row>
    <row r="387" spans="8:9" ht="12.75">
      <c r="H387" s="88"/>
      <c r="I387" s="88"/>
    </row>
    <row r="388" spans="8:9" ht="12.75">
      <c r="H388" s="88"/>
      <c r="I388" s="88"/>
    </row>
    <row r="389" spans="8:9" ht="12.75">
      <c r="H389" s="88"/>
      <c r="I389" s="88"/>
    </row>
    <row r="390" spans="8:9" ht="12.75">
      <c r="H390" s="88"/>
      <c r="I390" s="88"/>
    </row>
    <row r="391" spans="8:9" ht="12.75">
      <c r="H391" s="88"/>
      <c r="I391" s="88"/>
    </row>
    <row r="392" spans="8:9" ht="12.75">
      <c r="H392" s="88"/>
      <c r="I392" s="88"/>
    </row>
    <row r="393" spans="8:9" ht="12.75">
      <c r="H393" s="88"/>
      <c r="I393" s="88"/>
    </row>
    <row r="394" spans="8:9" ht="12.75">
      <c r="H394" s="88"/>
      <c r="I394" s="88"/>
    </row>
    <row r="395" spans="8:9" ht="12.75">
      <c r="H395" s="88"/>
      <c r="I395" s="88"/>
    </row>
    <row r="396" spans="8:9" ht="12.75">
      <c r="H396" s="88"/>
      <c r="I396" s="88"/>
    </row>
    <row r="397" spans="8:9" ht="12.75">
      <c r="H397" s="88"/>
      <c r="I397" s="88"/>
    </row>
    <row r="398" spans="8:9" ht="12.75">
      <c r="H398" s="88"/>
      <c r="I398" s="88"/>
    </row>
    <row r="399" spans="8:9" ht="12.75">
      <c r="H399" s="88"/>
      <c r="I399" s="88"/>
    </row>
    <row r="400" spans="8:9" ht="12.75">
      <c r="H400" s="88"/>
      <c r="I400" s="88"/>
    </row>
    <row r="401" spans="8:9" ht="12.75">
      <c r="H401" s="88"/>
      <c r="I401" s="88"/>
    </row>
    <row r="402" spans="8:9" ht="12.75">
      <c r="H402" s="88"/>
      <c r="I402" s="88"/>
    </row>
    <row r="403" spans="8:9" ht="12.75">
      <c r="H403" s="88"/>
      <c r="I403" s="88"/>
    </row>
    <row r="404" spans="8:9" ht="12.75">
      <c r="H404" s="88"/>
      <c r="I404" s="88"/>
    </row>
    <row r="405" spans="8:9" ht="12.75">
      <c r="H405" s="88"/>
      <c r="I405" s="88"/>
    </row>
    <row r="406" spans="8:9" ht="12.75">
      <c r="H406" s="88"/>
      <c r="I406" s="88"/>
    </row>
    <row r="407" spans="8:9" ht="12.75">
      <c r="H407" s="88"/>
      <c r="I407" s="88"/>
    </row>
    <row r="408" spans="8:9" ht="12.75">
      <c r="H408" s="88"/>
      <c r="I408" s="88"/>
    </row>
    <row r="409" spans="8:9" ht="12.75">
      <c r="H409" s="88"/>
      <c r="I409" s="88"/>
    </row>
    <row r="410" spans="8:9" ht="12.75">
      <c r="H410" s="88"/>
      <c r="I410" s="88"/>
    </row>
    <row r="411" spans="8:9" ht="12.75">
      <c r="H411" s="88"/>
      <c r="I411" s="88"/>
    </row>
    <row r="412" spans="8:9" ht="12.75">
      <c r="H412" s="88"/>
      <c r="I412" s="88"/>
    </row>
    <row r="413" spans="8:9" ht="12.75">
      <c r="H413" s="88"/>
      <c r="I413" s="88"/>
    </row>
    <row r="414" spans="8:9" ht="12.75">
      <c r="H414" s="88"/>
      <c r="I414" s="88"/>
    </row>
    <row r="415" spans="8:9" ht="12.75">
      <c r="H415" s="88"/>
      <c r="I415" s="88"/>
    </row>
    <row r="416" spans="8:9" ht="12.75">
      <c r="H416" s="88"/>
      <c r="I416" s="88"/>
    </row>
    <row r="417" spans="8:9" ht="12.75">
      <c r="H417" s="88"/>
      <c r="I417" s="88"/>
    </row>
    <row r="418" spans="8:9" ht="12.75">
      <c r="H418" s="88"/>
      <c r="I418" s="88"/>
    </row>
    <row r="419" spans="8:9" ht="12.75">
      <c r="H419" s="88"/>
      <c r="I419" s="88"/>
    </row>
    <row r="420" spans="8:9" ht="12.75">
      <c r="H420" s="88"/>
      <c r="I420" s="88"/>
    </row>
    <row r="421" spans="8:9" ht="12.75">
      <c r="H421" s="88"/>
      <c r="I421" s="88"/>
    </row>
    <row r="422" spans="8:9" ht="12.75">
      <c r="H422" s="88"/>
      <c r="I422" s="88"/>
    </row>
    <row r="423" spans="8:9" ht="12.75">
      <c r="H423" s="88"/>
      <c r="I423" s="88"/>
    </row>
    <row r="424" spans="8:9" ht="12.75">
      <c r="H424" s="88"/>
      <c r="I424" s="88"/>
    </row>
    <row r="425" spans="8:9" ht="12.75">
      <c r="H425" s="88"/>
      <c r="I425" s="88"/>
    </row>
    <row r="426" spans="8:9" ht="12.75">
      <c r="H426" s="88"/>
      <c r="I426" s="88"/>
    </row>
    <row r="427" spans="8:9" ht="12.75">
      <c r="H427" s="88"/>
      <c r="I427" s="88"/>
    </row>
    <row r="428" spans="8:9" ht="12.75">
      <c r="H428" s="88"/>
      <c r="I428" s="88"/>
    </row>
    <row r="429" spans="8:9" ht="12.75">
      <c r="H429" s="88"/>
      <c r="I429" s="88"/>
    </row>
    <row r="430" spans="8:9" ht="12.75">
      <c r="H430" s="88"/>
      <c r="I430" s="88"/>
    </row>
    <row r="431" spans="8:9" ht="12.75">
      <c r="H431" s="88"/>
      <c r="I431" s="88"/>
    </row>
    <row r="432" spans="8:9" ht="12.75">
      <c r="H432" s="88"/>
      <c r="I432" s="88"/>
    </row>
    <row r="433" spans="8:9" ht="12.75">
      <c r="H433" s="88"/>
      <c r="I433" s="88"/>
    </row>
    <row r="434" spans="8:9" ht="12.75">
      <c r="H434" s="88"/>
      <c r="I434" s="88"/>
    </row>
    <row r="435" spans="8:9" ht="12.75">
      <c r="H435" s="88"/>
      <c r="I435" s="88"/>
    </row>
    <row r="436" spans="8:9" ht="12.75">
      <c r="H436" s="88"/>
      <c r="I436" s="88"/>
    </row>
    <row r="437" spans="8:9" ht="12.75">
      <c r="H437" s="88"/>
      <c r="I437" s="88"/>
    </row>
  </sheetData>
  <sheetProtection selectLockedCells="1"/>
  <mergeCells count="5">
    <mergeCell ref="A1:I4"/>
    <mergeCell ref="A6:E6"/>
    <mergeCell ref="F6:I6"/>
    <mergeCell ref="A33:F33"/>
    <mergeCell ref="H33:J33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N159"/>
  <sheetViews>
    <sheetView zoomScale="85" zoomScaleNormal="85" workbookViewId="0" topLeftCell="A1">
      <selection activeCell="B8" sqref="B8"/>
    </sheetView>
  </sheetViews>
  <sheetFormatPr defaultColWidth="9.140625" defaultRowHeight="12.75"/>
  <cols>
    <col min="1" max="1" width="16.28125" style="88" customWidth="1"/>
    <col min="2" max="2" width="14.140625" style="88" customWidth="1"/>
    <col min="3" max="3" width="17.421875" style="88" bestFit="1" customWidth="1"/>
    <col min="4" max="4" width="22.8515625" style="88" bestFit="1" customWidth="1"/>
    <col min="5" max="5" width="18.140625" style="88" customWidth="1"/>
    <col min="6" max="6" width="9.28125" style="88" customWidth="1"/>
    <col min="7" max="7" width="10.140625" style="88" customWidth="1"/>
    <col min="8" max="8" width="9.140625" style="88" customWidth="1"/>
    <col min="9" max="9" width="6.57421875" style="88" customWidth="1"/>
    <col min="10" max="10" width="13.57421875" style="88" bestFit="1" customWidth="1"/>
    <col min="11" max="11" width="13.140625" style="88" bestFit="1" customWidth="1"/>
    <col min="12" max="12" width="13.140625" style="88" customWidth="1"/>
    <col min="13" max="13" width="18.28125" style="88" bestFit="1" customWidth="1"/>
    <col min="14" max="14" width="11.7109375" style="88" bestFit="1" customWidth="1"/>
    <col min="15" max="16384" width="9.140625" style="88" customWidth="1"/>
  </cols>
  <sheetData>
    <row r="1" spans="1:8" ht="12.75">
      <c r="A1" s="246" t="s">
        <v>36</v>
      </c>
      <c r="B1" s="254"/>
      <c r="C1" s="254"/>
      <c r="D1" s="254"/>
      <c r="E1" s="79"/>
      <c r="F1" s="79"/>
      <c r="G1" s="79"/>
      <c r="H1" s="79"/>
    </row>
    <row r="2" spans="1:8" ht="12.75">
      <c r="A2" s="254"/>
      <c r="B2" s="254"/>
      <c r="C2" s="254"/>
      <c r="D2" s="254"/>
      <c r="E2" s="79"/>
      <c r="F2" s="79"/>
      <c r="G2" s="79"/>
      <c r="H2" s="79"/>
    </row>
    <row r="3" spans="1:8" ht="12.75" customHeight="1">
      <c r="A3" s="254"/>
      <c r="B3" s="254"/>
      <c r="C3" s="254"/>
      <c r="D3" s="254"/>
      <c r="E3" s="79"/>
      <c r="F3" s="79"/>
      <c r="G3" s="79"/>
      <c r="H3" s="79"/>
    </row>
    <row r="4" spans="1:14" ht="12.75" customHeight="1" thickBot="1">
      <c r="A4" s="248" t="s">
        <v>28</v>
      </c>
      <c r="B4" s="248"/>
      <c r="C4" s="248"/>
      <c r="D4" s="248"/>
      <c r="E4" s="248" t="s">
        <v>9</v>
      </c>
      <c r="F4" s="248"/>
      <c r="G4" s="248"/>
      <c r="H4" s="248"/>
      <c r="J4" s="88" t="s">
        <v>56</v>
      </c>
      <c r="K4" s="88" t="s">
        <v>57</v>
      </c>
      <c r="L4" s="88" t="s">
        <v>128</v>
      </c>
      <c r="M4" s="88" t="s">
        <v>127</v>
      </c>
      <c r="N4" s="88" t="s">
        <v>4</v>
      </c>
    </row>
    <row r="5" spans="1:14" ht="12.75" customHeight="1">
      <c r="A5" s="90"/>
      <c r="B5" s="90"/>
      <c r="C5" s="90"/>
      <c r="D5" s="90"/>
      <c r="E5" s="90"/>
      <c r="F5" s="90"/>
      <c r="G5" s="90"/>
      <c r="H5" s="82"/>
      <c r="J5" s="88">
        <v>0</v>
      </c>
      <c r="K5" s="88">
        <v>0</v>
      </c>
      <c r="M5" s="88">
        <f>IF(NVTable_Data_Entry!B26="y",NVTable_Data_Entry!D26,tgt_max_N)</f>
        <v>100.68621235058032</v>
      </c>
      <c r="N5" s="88">
        <f>IF($M$5&gt;=$K$12,7,(LOOKUP(M5,K5:K12,J5:J12)+1))</f>
        <v>7</v>
      </c>
    </row>
    <row r="6" spans="1:12" ht="12.75">
      <c r="A6" s="90" t="s">
        <v>27</v>
      </c>
      <c r="B6" s="180">
        <v>30</v>
      </c>
      <c r="C6" s="90" t="s">
        <v>29</v>
      </c>
      <c r="D6" s="90" t="s">
        <v>144</v>
      </c>
      <c r="E6" s="104">
        <f>tgt_spd</f>
        <v>6</v>
      </c>
      <c r="F6" s="90"/>
      <c r="G6" s="90"/>
      <c r="H6" s="82"/>
      <c r="J6" s="88">
        <v>1</v>
      </c>
      <c r="K6" s="88">
        <f>((LN(tgt_pres)*(Noz1_cons/conv_ftr)+(Noz1_pwr/conv_ftr)))*n_src*dens*5940/(noz_spc*tgt_spd)</f>
        <v>14.575369347832464</v>
      </c>
      <c r="L6" s="88">
        <f>IF($N$5=1,1,IF($N$5=3,1,IF($N$5=5,1,IF($N$5=7,1,0))))</f>
        <v>1</v>
      </c>
    </row>
    <row r="7" spans="1:12" ht="12.75">
      <c r="A7" s="90" t="s">
        <v>26</v>
      </c>
      <c r="B7" s="180">
        <v>6</v>
      </c>
      <c r="C7" s="90" t="s">
        <v>30</v>
      </c>
      <c r="D7" s="90" t="s">
        <v>143</v>
      </c>
      <c r="E7" s="181">
        <f>LOOKUP($E$6,$B$31:$B$158,$D$31:$D$158)</f>
        <v>29.40016646127717</v>
      </c>
      <c r="F7" s="90"/>
      <c r="G7" s="90"/>
      <c r="H7" s="82"/>
      <c r="J7" s="88">
        <v>2</v>
      </c>
      <c r="K7" s="88">
        <f>((LN(tgt_pres)*(Noz2_cons/conv_ftr)+((Noz2_pwr/conv_ftr))))*n_src*dens*5940/(noz_spc*tgt_spd)</f>
        <v>28.763107784292856</v>
      </c>
      <c r="L7" s="88">
        <f>IF($N$5=2,1,IF($N$5=6,1,IF($N$5=7,1,IF($N$5=3,1,0))))</f>
        <v>1</v>
      </c>
    </row>
    <row r="8" spans="1:11" ht="12.75">
      <c r="A8" s="90" t="s">
        <v>31</v>
      </c>
      <c r="B8" s="182">
        <f>((LN(tgt_pres)*((Noz1_cons+Noz2_cons+Noz3_cons)/conv_ftr)+((Noz1_pwr+Noz2_pwr+Noz3_pwr)/conv_ftr)))*n_src*dens*5940/(noz_spc*tgt_spd)</f>
        <v>100.68621235058032</v>
      </c>
      <c r="C8" s="90" t="s">
        <v>48</v>
      </c>
      <c r="D8" s="90" t="s">
        <v>145</v>
      </c>
      <c r="E8" s="183">
        <f>ROUND(LOOKUP(0,$M$30:$M$158,$B$31:$B$158),0)</f>
        <v>2</v>
      </c>
      <c r="F8" s="90"/>
      <c r="G8" s="90"/>
      <c r="H8" s="82"/>
      <c r="J8" s="88">
        <v>3</v>
      </c>
      <c r="K8" s="88">
        <f>((LN(tgt_pres)*((Noz1_cons+Noz2_cons)/conv_ftr)+((Noz1_pwr+Noz2_pwr)/conv_ftr)))*n_src*dens*5940/(noz_spc*tgt_spd)</f>
        <v>43.3384771321253</v>
      </c>
    </row>
    <row r="9" spans="1:12" ht="12.75">
      <c r="A9" s="184"/>
      <c r="B9" s="181">
        <f>tgt_max_N/E26</f>
        <v>33.67431851189977</v>
      </c>
      <c r="C9" s="184" t="s">
        <v>96</v>
      </c>
      <c r="D9" s="90" t="s">
        <v>262</v>
      </c>
      <c r="E9" s="212">
        <f>IF(NVTable_Data_Entry!B26="y",30,15)</f>
        <v>15</v>
      </c>
      <c r="F9" s="90"/>
      <c r="G9" s="90"/>
      <c r="H9" s="82"/>
      <c r="J9" s="88">
        <v>4</v>
      </c>
      <c r="K9" s="88">
        <f>((LN(tgt_pres)*(Noz3_cons/conv_ftr)+(Noz3_pwr/conv_ftr)))*n_src*dens*5940/(noz_spc*tgt_spd)</f>
        <v>57.34773521845503</v>
      </c>
      <c r="L9" s="88">
        <f>IF($N$5=4,1,IF($N$5=5,1,IF($N$5=6,1,IF($N$5=7,1,0))))</f>
        <v>1</v>
      </c>
    </row>
    <row r="10" spans="1:11" ht="12.75">
      <c r="A10" s="184"/>
      <c r="B10" s="185"/>
      <c r="C10" s="184"/>
      <c r="D10" s="90"/>
      <c r="E10" s="90"/>
      <c r="F10" s="90"/>
      <c r="G10" s="90"/>
      <c r="H10" s="82"/>
      <c r="J10" s="88">
        <v>5</v>
      </c>
      <c r="K10" s="88">
        <f>((LN(tgt_pres)*((Noz1_cons+Noz3_cons)/conv_ftr)+((Noz1_pwr+Noz3_pwr)/conv_ftr))*n_src*dens*5940/(noz_spc*tgt_spd))</f>
        <v>71.9231045662875</v>
      </c>
    </row>
    <row r="11" spans="1:11" ht="12.75">
      <c r="A11" s="184"/>
      <c r="B11" s="186" t="s">
        <v>66</v>
      </c>
      <c r="C11" s="186" t="s">
        <v>67</v>
      </c>
      <c r="D11" s="187" t="s">
        <v>68</v>
      </c>
      <c r="E11" s="90"/>
      <c r="F11" s="90"/>
      <c r="G11" s="90"/>
      <c r="H11" s="82"/>
      <c r="J11" s="88">
        <v>6</v>
      </c>
      <c r="K11" s="88">
        <f>((LN(tgt_pres)*((Noz2_cons+Noz3_cons)/conv_ftr)+((Noz2_pwr+Noz3_pwr)/conv_ftr)))*n_src*dens*5940/(noz_spc*tgt_spd)</f>
        <v>86.11084300274787</v>
      </c>
    </row>
    <row r="12" spans="1:11" ht="12.75">
      <c r="A12" s="184"/>
      <c r="B12" s="166" t="str">
        <f ca="1">OFFSET(NVTable_Data_Entry!$A$80,LOOKUP(NVTable_Data_Entry!C81,NVTable_Data_Entry!A81:A93),1)</f>
        <v>SJ3-015</v>
      </c>
      <c r="C12" s="166" t="str">
        <f ca="1">OFFSET(NVTable_Data_Entry!$D$80,LOOKUP(NVTable_Data_Entry!F81,NVTable_Data_Entry!D81:D93),1)</f>
        <v>SJ3-03</v>
      </c>
      <c r="D12" s="166" t="str">
        <f ca="1">OFFSET(NVTable_Data_Entry!$G$80,LOOKUP(NVTable_Data_Entry!I81,NVTable_Data_Entry!G81:G94),1)</f>
        <v>SJ3-06</v>
      </c>
      <c r="E12" s="90"/>
      <c r="F12" s="90"/>
      <c r="G12" s="90"/>
      <c r="H12" s="82"/>
      <c r="J12" s="88">
        <v>7</v>
      </c>
      <c r="K12" s="88">
        <f>((LN(tgt_pres)*((Noz1_cons+Noz2_cons+Noz3_cons)/conv_ftr)+((Noz1_pwr+Noz2_pwr+Noz3_pwr)/conv_ftr)))*n_src*dens*5940/(noz_spc*tgt_spd)</f>
        <v>100.68621235058032</v>
      </c>
    </row>
    <row r="13" spans="1:8" ht="12.75">
      <c r="A13" s="184"/>
      <c r="B13" s="185">
        <f>N_nz1_sel</f>
        <v>1</v>
      </c>
      <c r="C13" s="184">
        <f>N_nz2_sel</f>
        <v>2</v>
      </c>
      <c r="D13" s="90">
        <f>N_nz3_sel</f>
        <v>3</v>
      </c>
      <c r="E13" s="90"/>
      <c r="F13" s="90"/>
      <c r="G13" s="90"/>
      <c r="H13" s="82"/>
    </row>
    <row r="14" spans="1:13" ht="14.25" customHeight="1">
      <c r="A14" s="185" t="s">
        <v>72</v>
      </c>
      <c r="B14" s="185"/>
      <c r="C14" s="185"/>
      <c r="D14" s="90"/>
      <c r="E14" s="90"/>
      <c r="F14" s="90"/>
      <c r="G14" s="90"/>
      <c r="H14" s="82"/>
      <c r="J14" s="251" t="str">
        <f>IF(NVTable_Data_Entry!B26="n",IF(tgt_spd&gt;15,Nwarn1,IF(($B$6-$E$7)&gt;10,Nwarn2,IF(($E$7-$B$6)&gt;10,Nwarn3,IF(($E$6-$E$8)&lt;1,Nwarn4,"All Parameters Accepted")))),"All Parameters Accepted")</f>
        <v>All Parameters Accepted</v>
      </c>
      <c r="K14" s="252"/>
      <c r="L14" s="252"/>
      <c r="M14" s="252"/>
    </row>
    <row r="15" spans="1:8" ht="13.5" thickBot="1">
      <c r="A15" s="185" t="s">
        <v>71</v>
      </c>
      <c r="B15" s="188" t="s">
        <v>119</v>
      </c>
      <c r="C15" s="188" t="s">
        <v>120</v>
      </c>
      <c r="D15" s="90"/>
      <c r="E15" s="90"/>
      <c r="F15" s="90"/>
      <c r="G15" s="90"/>
      <c r="H15" s="82"/>
    </row>
    <row r="16" spans="1:8" ht="12.75">
      <c r="A16" s="185" t="s">
        <v>66</v>
      </c>
      <c r="B16" s="189">
        <f ca="1">OFFSET(Noz_Lib!$A$5,7,MATCH(B13,Noz_Lib!$B$5:$BX$5))</f>
        <v>0.06467839106452264</v>
      </c>
      <c r="C16" s="190">
        <f ca="1">OFFSET(Noz_Lib!$A$5,8,MATCH(B13,Noz_Lib!$B$5:$BX$5))</f>
        <v>-0.08633931489346663</v>
      </c>
      <c r="D16" s="90"/>
      <c r="E16" s="90"/>
      <c r="F16" s="90"/>
      <c r="G16" s="90"/>
      <c r="H16" s="82"/>
    </row>
    <row r="17" spans="1:11" ht="12.75">
      <c r="A17" s="185" t="s">
        <v>67</v>
      </c>
      <c r="B17" s="191">
        <f ca="1">OFFSET(Noz_Lib!$A$5,7,MATCH(C13,Noz_Lib!$B$5:$BX$5))</f>
        <v>0.14008610507330216</v>
      </c>
      <c r="C17" s="192">
        <f ca="1">OFFSET(Noz_Lib!$A$5,8,MATCH(C13,Noz_Lib!$B$5:$BX$5))</f>
        <v>-0.21272544510661612</v>
      </c>
      <c r="D17" s="90"/>
      <c r="E17" s="90"/>
      <c r="F17" s="90"/>
      <c r="G17" s="90"/>
      <c r="H17" s="82"/>
      <c r="K17" s="88" t="s">
        <v>179</v>
      </c>
    </row>
    <row r="18" spans="1:11" ht="13.5" thickBot="1">
      <c r="A18" s="185" t="s">
        <v>68</v>
      </c>
      <c r="B18" s="193">
        <f ca="1">OFFSET(Noz_Lib!$A$5,7,MATCH(D13,Noz_Lib!$B$5:$BX$5))</f>
        <v>0.27138460533230047</v>
      </c>
      <c r="C18" s="194">
        <f ca="1">OFFSET(Noz_Lib!$A$5,8,MATCH(D13,Noz_Lib!$B$5:$BX$5))</f>
        <v>-0.39719903599286566</v>
      </c>
      <c r="D18" s="90"/>
      <c r="E18" s="90"/>
      <c r="F18" s="90"/>
      <c r="G18" s="90"/>
      <c r="H18" s="82"/>
      <c r="J18" s="88">
        <v>1</v>
      </c>
      <c r="K18" s="88" t="s">
        <v>251</v>
      </c>
    </row>
    <row r="19" spans="1:11" ht="12.75">
      <c r="A19" s="90"/>
      <c r="B19" s="90"/>
      <c r="C19" s="90"/>
      <c r="D19" s="90"/>
      <c r="E19" s="90"/>
      <c r="F19" s="90"/>
      <c r="G19" s="90"/>
      <c r="H19" s="82"/>
      <c r="J19" s="88">
        <v>2</v>
      </c>
      <c r="K19" s="88" t="s">
        <v>252</v>
      </c>
    </row>
    <row r="20" spans="1:11" ht="12.75">
      <c r="A20" s="90"/>
      <c r="B20" s="90"/>
      <c r="C20" s="90"/>
      <c r="D20" s="90"/>
      <c r="E20" s="90"/>
      <c r="F20" s="90"/>
      <c r="G20" s="90"/>
      <c r="H20" s="82"/>
      <c r="J20" s="88">
        <v>3</v>
      </c>
      <c r="K20" s="88" t="s">
        <v>253</v>
      </c>
    </row>
    <row r="21" spans="1:11" ht="12.75">
      <c r="A21" s="36" t="s">
        <v>248</v>
      </c>
      <c r="B21" s="215"/>
      <c r="C21" s="90"/>
      <c r="D21" s="90"/>
      <c r="E21" s="90"/>
      <c r="F21" s="90"/>
      <c r="G21" s="90"/>
      <c r="H21" s="82"/>
      <c r="J21" s="88">
        <v>4</v>
      </c>
      <c r="K21" s="88" t="s">
        <v>254</v>
      </c>
    </row>
    <row r="22" spans="1:8" ht="12.75">
      <c r="A22" s="36" t="s">
        <v>249</v>
      </c>
      <c r="B22" s="36" t="s">
        <v>250</v>
      </c>
      <c r="C22" s="90"/>
      <c r="D22" s="90"/>
      <c r="E22" s="90"/>
      <c r="F22" s="90"/>
      <c r="G22" s="90"/>
      <c r="H22" s="82"/>
    </row>
    <row r="23" spans="1:8" ht="12.75">
      <c r="A23" s="213">
        <f>NVTable_Data_Entry!F29</f>
        <v>14.343308102832705</v>
      </c>
      <c r="B23" s="213">
        <f>NVTable_Data_Entry!G29</f>
        <v>0.16174607471509006</v>
      </c>
      <c r="C23" s="90"/>
      <c r="D23" s="90"/>
      <c r="E23" s="90"/>
      <c r="F23" s="90"/>
      <c r="G23" s="90"/>
      <c r="H23" s="82"/>
    </row>
    <row r="24" spans="1:8" ht="12.75">
      <c r="A24" s="185"/>
      <c r="B24" s="185"/>
      <c r="C24" s="185"/>
      <c r="D24" s="90"/>
      <c r="E24" s="90"/>
      <c r="F24" s="90"/>
      <c r="G24" s="90"/>
      <c r="H24" s="82"/>
    </row>
    <row r="25" spans="1:8" ht="12.75">
      <c r="A25" s="188" t="s">
        <v>92</v>
      </c>
      <c r="B25" s="188" t="s">
        <v>61</v>
      </c>
      <c r="C25" s="188" t="s">
        <v>93</v>
      </c>
      <c r="D25" s="195" t="s">
        <v>94</v>
      </c>
      <c r="E25" s="90" t="s">
        <v>126</v>
      </c>
      <c r="F25" s="90"/>
      <c r="G25" s="90"/>
      <c r="H25" s="82"/>
    </row>
    <row r="26" spans="1:8" ht="12.75">
      <c r="A26" s="185">
        <f>NVTable_Data_Entry!D31</f>
        <v>24</v>
      </c>
      <c r="B26" s="185">
        <f>(VLOOKUP(NVTable_Data_Entry!D68,NVTable_Data_Entry!A73:B75,2))/100</f>
        <v>0.28</v>
      </c>
      <c r="C26" s="185">
        <f>VLOOKUP(NVTable_Data_Entry!D68,NVTable_Data_Entry!D73:E75,2)</f>
        <v>10.67</v>
      </c>
      <c r="D26" s="90">
        <f>IF(NVTable_Data_Entry!L47=4,1,VLOOKUP(NVTable_Data_Entry!D68,NVTable_Data_Entry!A68:B70,2))</f>
        <v>1.13</v>
      </c>
      <c r="E26" s="90">
        <f>VLOOKUP(NVTable_Data_Entry!D68,NVTable_Data_Entry!E68:F70,2)</f>
        <v>2.99</v>
      </c>
      <c r="F26" s="90"/>
      <c r="G26" s="90"/>
      <c r="H26" s="82"/>
    </row>
    <row r="27" spans="1:8" ht="13.5" thickBot="1">
      <c r="A27" s="196"/>
      <c r="B27" s="196"/>
      <c r="C27" s="196"/>
      <c r="D27" s="197"/>
      <c r="E27" s="197"/>
      <c r="F27" s="197"/>
      <c r="G27" s="197"/>
      <c r="H27" s="197"/>
    </row>
    <row r="28" spans="1:5" s="121" customFormat="1" ht="14.25" thickBot="1" thickTop="1">
      <c r="A28" s="253" t="s">
        <v>32</v>
      </c>
      <c r="B28" s="253"/>
      <c r="C28" s="253"/>
      <c r="D28" s="253"/>
      <c r="E28" s="253"/>
    </row>
    <row r="29" spans="1:13" s="121" customFormat="1" ht="12.75">
      <c r="A29" s="217" t="s">
        <v>33</v>
      </c>
      <c r="B29" s="217" t="s">
        <v>34</v>
      </c>
      <c r="C29" s="217" t="s">
        <v>121</v>
      </c>
      <c r="D29" s="217" t="s">
        <v>35</v>
      </c>
      <c r="E29" s="217" t="s">
        <v>37</v>
      </c>
      <c r="G29" s="121" t="s">
        <v>150</v>
      </c>
      <c r="J29" s="121" t="s">
        <v>134</v>
      </c>
      <c r="K29" s="121" t="s">
        <v>135</v>
      </c>
      <c r="L29" s="121" t="s">
        <v>136</v>
      </c>
      <c r="M29" s="121" t="s">
        <v>153</v>
      </c>
    </row>
    <row r="30" spans="1:13" s="121" customFormat="1" ht="12.75">
      <c r="A30" s="161">
        <v>0</v>
      </c>
      <c r="B30" s="161">
        <v>0</v>
      </c>
      <c r="C30" s="161">
        <f aca="true" t="shared" si="0" ref="C30:C61">INT(((B30*SQRT(des_pres))/(des_spd))^2+0.5)</f>
        <v>0</v>
      </c>
      <c r="D30" s="218">
        <f aca="true" t="shared" si="1" ref="D30:D61">EXP((((max_rate*B30*noz_spc*conv_ftr)/(5940*dens*n_src))-(Noz1_pwr*v1_stat+Noz2_pwr*v2_stat+Noz3_pwr*v3_stat))/(Noz1_cons*v1_stat+Noz2_cons*v2_stat+Noz3_cons*v3_stat))</f>
        <v>4.315792738887321</v>
      </c>
      <c r="E30" s="161">
        <f>ROUND(D30,0)</f>
        <v>4</v>
      </c>
      <c r="G30" s="164">
        <v>0</v>
      </c>
      <c r="J30" s="121">
        <v>0</v>
      </c>
      <c r="K30" s="121">
        <v>0</v>
      </c>
      <c r="L30" s="121">
        <v>0</v>
      </c>
      <c r="M30" s="121">
        <v>0</v>
      </c>
    </row>
    <row r="31" spans="1:13" s="121" customFormat="1" ht="12.75">
      <c r="A31" s="161">
        <v>1</v>
      </c>
      <c r="B31" s="161">
        <f>A31*20/128</f>
        <v>0.15625</v>
      </c>
      <c r="C31" s="161">
        <f t="shared" si="0"/>
        <v>0</v>
      </c>
      <c r="D31" s="218">
        <f t="shared" si="1"/>
        <v>4.539303735794803</v>
      </c>
      <c r="E31" s="161">
        <f aca="true" t="shared" si="2" ref="E31:E94">ROUND(D31,0)</f>
        <v>5</v>
      </c>
      <c r="G31" s="164">
        <f aca="true" t="shared" si="3" ref="G31:G62">(LN(E31)*((Noz1_cons*v1_stat+Noz2_cons*v2_stat+Noz3_cons*v3_stat)/conv_ftr)+((Noz1_pwr*v1_stat+Noz2_pwr*v2_stat+Noz3_pwr*v3_stat)/conv_ftr))*n_src*dens*5940/(noz_spc*B31)</f>
        <v>293.44232025383434</v>
      </c>
      <c r="J31" s="121">
        <f aca="true" t="shared" si="4" ref="J31:J62">ROUND(((v1_stat*Noz1_cons*LN(D31)+v1_stat*Noz1_pwr)*5940/(B31*noz_spc)),2)</f>
        <v>18.22</v>
      </c>
      <c r="K31" s="121">
        <f aca="true" t="shared" si="5" ref="K31:K62">ROUND(((v2_stat*Noz2_cons*LN(D31)+v2_stat*Noz2_pwr)*5940/(B31*noz_spc)),2)</f>
        <v>-1.28</v>
      </c>
      <c r="L31" s="121">
        <f aca="true" t="shared" si="6" ref="L31:L62">ROUND(((v3_stat*Noz3_cons*LN(D31)+v3_stat*Noz3_pwr)*5940/(B31*noz_spc)),2)</f>
        <v>21.14</v>
      </c>
      <c r="M31" s="121">
        <f>IF(ABS(J31-J32)&gt;0.08,0,IF(ABS(K31-K32)&gt;0.08,0,IF(ABS((L31-L32))&gt;0.08,0,1)))</f>
        <v>0</v>
      </c>
    </row>
    <row r="32" spans="1:13" s="121" customFormat="1" ht="12.75">
      <c r="A32" s="161">
        <v>2</v>
      </c>
      <c r="B32" s="161">
        <f aca="true" t="shared" si="7" ref="B32:B95">A32*20/128</f>
        <v>0.3125</v>
      </c>
      <c r="C32" s="161">
        <f t="shared" si="0"/>
        <v>0</v>
      </c>
      <c r="D32" s="218">
        <f t="shared" si="1"/>
        <v>4.7743901647865075</v>
      </c>
      <c r="E32" s="161">
        <f t="shared" si="2"/>
        <v>5</v>
      </c>
      <c r="G32" s="164">
        <f t="shared" si="3"/>
        <v>146.72116012691717</v>
      </c>
      <c r="J32" s="121">
        <f t="shared" si="4"/>
        <v>11.7</v>
      </c>
      <c r="K32" s="121">
        <f t="shared" si="5"/>
        <v>4.96</v>
      </c>
      <c r="L32" s="121">
        <f t="shared" si="6"/>
        <v>21.42</v>
      </c>
      <c r="M32" s="121">
        <f aca="true" t="shared" si="8" ref="M32:M95">IF(ABS(J32-J33)&gt;0.08,0,IF(ABS(K32-K33)&gt;0.08,0,IF(ABS((L32-L33))&gt;0.08,0,1)))</f>
        <v>0</v>
      </c>
    </row>
    <row r="33" spans="1:13" s="121" customFormat="1" ht="12.75">
      <c r="A33" s="161">
        <v>3</v>
      </c>
      <c r="B33" s="161">
        <f t="shared" si="7"/>
        <v>0.46875</v>
      </c>
      <c r="C33" s="161">
        <f t="shared" si="0"/>
        <v>0</v>
      </c>
      <c r="D33" s="218">
        <f t="shared" si="1"/>
        <v>5.021651507005602</v>
      </c>
      <c r="E33" s="161">
        <f t="shared" si="2"/>
        <v>5</v>
      </c>
      <c r="G33" s="164">
        <f t="shared" si="3"/>
        <v>97.8141067512781</v>
      </c>
      <c r="J33" s="121">
        <f t="shared" si="4"/>
        <v>9.52</v>
      </c>
      <c r="K33" s="121">
        <f t="shared" si="5"/>
        <v>7.04</v>
      </c>
      <c r="L33" s="121">
        <f t="shared" si="6"/>
        <v>21.52</v>
      </c>
      <c r="M33" s="121">
        <f t="shared" si="8"/>
        <v>0</v>
      </c>
    </row>
    <row r="34" spans="1:13" s="121" customFormat="1" ht="12.75">
      <c r="A34" s="161">
        <v>4</v>
      </c>
      <c r="B34" s="161">
        <f t="shared" si="7"/>
        <v>0.625</v>
      </c>
      <c r="C34" s="161">
        <f t="shared" si="0"/>
        <v>0</v>
      </c>
      <c r="D34" s="218">
        <f t="shared" si="1"/>
        <v>5.281718290180679</v>
      </c>
      <c r="E34" s="161">
        <f t="shared" si="2"/>
        <v>5</v>
      </c>
      <c r="G34" s="164">
        <f t="shared" si="3"/>
        <v>73.36058006345858</v>
      </c>
      <c r="J34" s="121">
        <f t="shared" si="4"/>
        <v>8.44</v>
      </c>
      <c r="K34" s="121">
        <f t="shared" si="5"/>
        <v>8.08</v>
      </c>
      <c r="L34" s="121">
        <f t="shared" si="6"/>
        <v>21.56</v>
      </c>
      <c r="M34" s="121">
        <f t="shared" si="8"/>
        <v>0</v>
      </c>
    </row>
    <row r="35" spans="1:13" s="121" customFormat="1" ht="12.75">
      <c r="A35" s="161">
        <v>5</v>
      </c>
      <c r="B35" s="161">
        <f t="shared" si="7"/>
        <v>0.78125</v>
      </c>
      <c r="C35" s="161">
        <f t="shared" si="0"/>
        <v>1</v>
      </c>
      <c r="D35" s="218">
        <f t="shared" si="1"/>
        <v>5.555253696500286</v>
      </c>
      <c r="E35" s="161">
        <f t="shared" si="2"/>
        <v>6</v>
      </c>
      <c r="G35" s="164">
        <f t="shared" si="3"/>
        <v>131.40114705246586</v>
      </c>
      <c r="J35" s="121">
        <f t="shared" si="4"/>
        <v>7.78</v>
      </c>
      <c r="K35" s="121">
        <f t="shared" si="5"/>
        <v>8.71</v>
      </c>
      <c r="L35" s="121">
        <f t="shared" si="6"/>
        <v>21.59</v>
      </c>
      <c r="M35" s="121">
        <f t="shared" si="8"/>
        <v>0</v>
      </c>
    </row>
    <row r="36" spans="1:13" s="121" customFormat="1" ht="12.75">
      <c r="A36" s="161">
        <v>6</v>
      </c>
      <c r="B36" s="161">
        <f t="shared" si="7"/>
        <v>0.9375</v>
      </c>
      <c r="C36" s="161">
        <f t="shared" si="0"/>
        <v>1</v>
      </c>
      <c r="D36" s="218">
        <f t="shared" si="1"/>
        <v>5.842955253757847</v>
      </c>
      <c r="E36" s="161">
        <f t="shared" si="2"/>
        <v>6</v>
      </c>
      <c r="G36" s="164">
        <f t="shared" si="3"/>
        <v>109.50095587705488</v>
      </c>
      <c r="J36" s="121">
        <f t="shared" si="4"/>
        <v>7.35</v>
      </c>
      <c r="K36" s="121">
        <f t="shared" si="5"/>
        <v>9.12</v>
      </c>
      <c r="L36" s="121">
        <f t="shared" si="6"/>
        <v>21.61</v>
      </c>
      <c r="M36" s="121">
        <f t="shared" si="8"/>
        <v>0</v>
      </c>
    </row>
    <row r="37" spans="1:13" s="121" customFormat="1" ht="12.75">
      <c r="A37" s="161">
        <v>7</v>
      </c>
      <c r="B37" s="161">
        <f t="shared" si="7"/>
        <v>1.09375</v>
      </c>
      <c r="C37" s="161">
        <f t="shared" si="0"/>
        <v>1</v>
      </c>
      <c r="D37" s="218">
        <f t="shared" si="1"/>
        <v>6.145556614079407</v>
      </c>
      <c r="E37" s="161">
        <f t="shared" si="2"/>
        <v>6</v>
      </c>
      <c r="G37" s="164">
        <f t="shared" si="3"/>
        <v>93.85796218033275</v>
      </c>
      <c r="J37" s="121">
        <f t="shared" si="4"/>
        <v>7.04</v>
      </c>
      <c r="K37" s="121">
        <f t="shared" si="5"/>
        <v>9.42</v>
      </c>
      <c r="L37" s="121">
        <f t="shared" si="6"/>
        <v>21.62</v>
      </c>
      <c r="M37" s="121">
        <f t="shared" si="8"/>
        <v>0</v>
      </c>
    </row>
    <row r="38" spans="1:13" s="121" customFormat="1" ht="12.75">
      <c r="A38" s="161">
        <v>8</v>
      </c>
      <c r="B38" s="161">
        <f t="shared" si="7"/>
        <v>1.25</v>
      </c>
      <c r="C38" s="161">
        <f t="shared" si="0"/>
        <v>1</v>
      </c>
      <c r="D38" s="218">
        <f t="shared" si="1"/>
        <v>6.463829424770124</v>
      </c>
      <c r="E38" s="161">
        <f t="shared" si="2"/>
        <v>6</v>
      </c>
      <c r="G38" s="164">
        <f t="shared" si="3"/>
        <v>82.12571690779116</v>
      </c>
      <c r="J38" s="121">
        <f t="shared" si="4"/>
        <v>6.8</v>
      </c>
      <c r="K38" s="121">
        <f t="shared" si="5"/>
        <v>9.64</v>
      </c>
      <c r="L38" s="121">
        <f t="shared" si="6"/>
        <v>21.63</v>
      </c>
      <c r="M38" s="121">
        <f t="shared" si="8"/>
        <v>0</v>
      </c>
    </row>
    <row r="39" spans="1:13" s="121" customFormat="1" ht="12.75">
      <c r="A39" s="161">
        <v>9</v>
      </c>
      <c r="B39" s="161">
        <f t="shared" si="7"/>
        <v>1.40625</v>
      </c>
      <c r="C39" s="161">
        <f t="shared" si="0"/>
        <v>2</v>
      </c>
      <c r="D39" s="218">
        <f t="shared" si="1"/>
        <v>6.79858529605016</v>
      </c>
      <c r="E39" s="161">
        <f t="shared" si="2"/>
        <v>7</v>
      </c>
      <c r="G39" s="164">
        <f t="shared" si="3"/>
        <v>107.15491364168486</v>
      </c>
      <c r="J39" s="121">
        <f t="shared" si="4"/>
        <v>6.62</v>
      </c>
      <c r="K39" s="121">
        <f t="shared" si="5"/>
        <v>9.82</v>
      </c>
      <c r="L39" s="121">
        <f t="shared" si="6"/>
        <v>21.64</v>
      </c>
      <c r="M39" s="121">
        <f t="shared" si="8"/>
        <v>0</v>
      </c>
    </row>
    <row r="40" spans="1:13" s="121" customFormat="1" ht="12.75">
      <c r="A40" s="161">
        <v>10</v>
      </c>
      <c r="B40" s="161">
        <f t="shared" si="7"/>
        <v>1.5625</v>
      </c>
      <c r="C40" s="161">
        <f t="shared" si="0"/>
        <v>2</v>
      </c>
      <c r="D40" s="218">
        <f t="shared" si="1"/>
        <v>7.150677870697867</v>
      </c>
      <c r="E40" s="161">
        <f t="shared" si="2"/>
        <v>7</v>
      </c>
      <c r="G40" s="164">
        <f t="shared" si="3"/>
        <v>96.43942227751637</v>
      </c>
      <c r="J40" s="121">
        <f t="shared" si="4"/>
        <v>6.48</v>
      </c>
      <c r="K40" s="121">
        <f t="shared" si="5"/>
        <v>9.96</v>
      </c>
      <c r="L40" s="121">
        <f t="shared" si="6"/>
        <v>21.65</v>
      </c>
      <c r="M40" s="121">
        <f t="shared" si="8"/>
        <v>0</v>
      </c>
    </row>
    <row r="41" spans="1:13" s="121" customFormat="1" ht="12.75">
      <c r="A41" s="161">
        <v>11</v>
      </c>
      <c r="B41" s="161">
        <f t="shared" si="7"/>
        <v>1.71875</v>
      </c>
      <c r="C41" s="161">
        <f t="shared" si="0"/>
        <v>2</v>
      </c>
      <c r="D41" s="218">
        <f t="shared" si="1"/>
        <v>7.521005000877897</v>
      </c>
      <c r="E41" s="161">
        <f t="shared" si="2"/>
        <v>8</v>
      </c>
      <c r="G41" s="164">
        <f t="shared" si="3"/>
        <v>111.87874929151005</v>
      </c>
      <c r="J41" s="121">
        <f t="shared" si="4"/>
        <v>6.36</v>
      </c>
      <c r="K41" s="121">
        <f t="shared" si="5"/>
        <v>10.07</v>
      </c>
      <c r="L41" s="121">
        <f t="shared" si="6"/>
        <v>21.65</v>
      </c>
      <c r="M41" s="121">
        <f t="shared" si="8"/>
        <v>0</v>
      </c>
    </row>
    <row r="42" spans="1:13" s="121" customFormat="1" ht="12.75">
      <c r="A42" s="161">
        <v>12</v>
      </c>
      <c r="B42" s="161">
        <f t="shared" si="7"/>
        <v>1.875</v>
      </c>
      <c r="C42" s="161">
        <f t="shared" si="0"/>
        <v>3</v>
      </c>
      <c r="D42" s="218">
        <f t="shared" si="1"/>
        <v>7.910511037705272</v>
      </c>
      <c r="E42" s="161">
        <f t="shared" si="2"/>
        <v>8</v>
      </c>
      <c r="G42" s="164">
        <f t="shared" si="3"/>
        <v>102.55552018388421</v>
      </c>
      <c r="J42" s="121">
        <f t="shared" si="4"/>
        <v>6.26</v>
      </c>
      <c r="K42" s="121">
        <f t="shared" si="5"/>
        <v>10.16</v>
      </c>
      <c r="L42" s="121">
        <f t="shared" si="6"/>
        <v>21.66</v>
      </c>
      <c r="M42" s="121">
        <f t="shared" si="8"/>
        <v>0</v>
      </c>
    </row>
    <row r="43" spans="1:13" s="121" customFormat="1" ht="12.75">
      <c r="A43" s="161">
        <v>13</v>
      </c>
      <c r="B43" s="161">
        <f t="shared" si="7"/>
        <v>2.03125</v>
      </c>
      <c r="C43" s="161">
        <f t="shared" si="0"/>
        <v>3</v>
      </c>
      <c r="D43" s="218">
        <f t="shared" si="1"/>
        <v>8.320189239383922</v>
      </c>
      <c r="E43" s="161">
        <f t="shared" si="2"/>
        <v>8</v>
      </c>
      <c r="G43" s="164">
        <f t="shared" si="3"/>
        <v>94.66663401589312</v>
      </c>
      <c r="J43" s="121">
        <f t="shared" si="4"/>
        <v>6.18</v>
      </c>
      <c r="K43" s="121">
        <f t="shared" si="5"/>
        <v>10.24</v>
      </c>
      <c r="L43" s="121">
        <f t="shared" si="6"/>
        <v>21.66</v>
      </c>
      <c r="M43" s="121">
        <f t="shared" si="8"/>
        <v>1</v>
      </c>
    </row>
    <row r="44" spans="1:13" s="121" customFormat="1" ht="12.75">
      <c r="A44" s="161">
        <v>14</v>
      </c>
      <c r="B44" s="161">
        <f t="shared" si="7"/>
        <v>2.1875</v>
      </c>
      <c r="C44" s="161">
        <f t="shared" si="0"/>
        <v>4</v>
      </c>
      <c r="D44" s="218">
        <f t="shared" si="1"/>
        <v>8.751084304060509</v>
      </c>
      <c r="E44" s="161">
        <f t="shared" si="2"/>
        <v>9</v>
      </c>
      <c r="G44" s="164">
        <f t="shared" si="3"/>
        <v>104.68105775968749</v>
      </c>
      <c r="J44" s="121">
        <f t="shared" si="4"/>
        <v>6.11</v>
      </c>
      <c r="K44" s="121">
        <f t="shared" si="5"/>
        <v>10.31</v>
      </c>
      <c r="L44" s="121">
        <f t="shared" si="6"/>
        <v>21.66</v>
      </c>
      <c r="M44" s="121">
        <f t="shared" si="8"/>
        <v>1</v>
      </c>
    </row>
    <row r="45" spans="1:13" s="121" customFormat="1" ht="12.75">
      <c r="A45" s="161">
        <v>15</v>
      </c>
      <c r="B45" s="161">
        <f t="shared" si="7"/>
        <v>2.34375</v>
      </c>
      <c r="C45" s="161">
        <f t="shared" si="0"/>
        <v>5</v>
      </c>
      <c r="D45" s="218">
        <f t="shared" si="1"/>
        <v>9.20429503385247</v>
      </c>
      <c r="E45" s="161">
        <f t="shared" si="2"/>
        <v>9</v>
      </c>
      <c r="G45" s="164">
        <f t="shared" si="3"/>
        <v>97.70232057570833</v>
      </c>
      <c r="J45" s="121">
        <f t="shared" si="4"/>
        <v>6.04</v>
      </c>
      <c r="K45" s="121">
        <f t="shared" si="5"/>
        <v>10.37</v>
      </c>
      <c r="L45" s="121">
        <f t="shared" si="6"/>
        <v>21.67</v>
      </c>
      <c r="M45" s="121">
        <f t="shared" si="8"/>
        <v>1</v>
      </c>
    </row>
    <row r="46" spans="1:13" s="121" customFormat="1" ht="12.75">
      <c r="A46" s="161">
        <v>16</v>
      </c>
      <c r="B46" s="161">
        <f t="shared" si="7"/>
        <v>2.5</v>
      </c>
      <c r="C46" s="161">
        <f t="shared" si="0"/>
        <v>5</v>
      </c>
      <c r="D46" s="218">
        <f t="shared" si="1"/>
        <v>9.68097713684367</v>
      </c>
      <c r="E46" s="161">
        <f t="shared" si="2"/>
        <v>10</v>
      </c>
      <c r="G46" s="164">
        <f t="shared" si="3"/>
        <v>104.72699378571328</v>
      </c>
      <c r="J46" s="121">
        <f t="shared" si="4"/>
        <v>5.99</v>
      </c>
      <c r="K46" s="121">
        <f t="shared" si="5"/>
        <v>10.42</v>
      </c>
      <c r="L46" s="121">
        <f t="shared" si="6"/>
        <v>21.67</v>
      </c>
      <c r="M46" s="121">
        <f t="shared" si="8"/>
        <v>1</v>
      </c>
    </row>
    <row r="47" spans="1:13" s="121" customFormat="1" ht="12.75">
      <c r="A47" s="161">
        <v>17</v>
      </c>
      <c r="B47" s="161">
        <f t="shared" si="7"/>
        <v>2.65625</v>
      </c>
      <c r="C47" s="161">
        <f t="shared" si="0"/>
        <v>6</v>
      </c>
      <c r="D47" s="218">
        <f t="shared" si="1"/>
        <v>10.182346174192833</v>
      </c>
      <c r="E47" s="161">
        <f t="shared" si="2"/>
        <v>10</v>
      </c>
      <c r="G47" s="164">
        <f t="shared" si="3"/>
        <v>98.56658238655366</v>
      </c>
      <c r="J47" s="121">
        <f t="shared" si="4"/>
        <v>5.94</v>
      </c>
      <c r="K47" s="121">
        <f t="shared" si="5"/>
        <v>10.47</v>
      </c>
      <c r="L47" s="121">
        <f t="shared" si="6"/>
        <v>21.67</v>
      </c>
      <c r="M47" s="121">
        <f t="shared" si="8"/>
        <v>1</v>
      </c>
    </row>
    <row r="48" spans="1:13" s="121" customFormat="1" ht="12.75">
      <c r="A48" s="161">
        <v>18</v>
      </c>
      <c r="B48" s="161">
        <f t="shared" si="7"/>
        <v>2.8125</v>
      </c>
      <c r="C48" s="161">
        <f t="shared" si="0"/>
        <v>7</v>
      </c>
      <c r="D48" s="218">
        <f t="shared" si="1"/>
        <v>10.709680659870115</v>
      </c>
      <c r="E48" s="161">
        <f t="shared" si="2"/>
        <v>11</v>
      </c>
      <c r="G48" s="164">
        <f t="shared" si="3"/>
        <v>103.64932435308455</v>
      </c>
      <c r="J48" s="121">
        <f t="shared" si="4"/>
        <v>5.9</v>
      </c>
      <c r="K48" s="121">
        <f t="shared" si="5"/>
        <v>10.51</v>
      </c>
      <c r="L48" s="121">
        <f t="shared" si="6"/>
        <v>21.67</v>
      </c>
      <c r="M48" s="121">
        <f t="shared" si="8"/>
        <v>1</v>
      </c>
    </row>
    <row r="49" spans="1:13" s="121" customFormat="1" ht="12.75">
      <c r="A49" s="161">
        <v>19</v>
      </c>
      <c r="B49" s="161">
        <f t="shared" si="7"/>
        <v>2.96875</v>
      </c>
      <c r="C49" s="161">
        <f t="shared" si="0"/>
        <v>7</v>
      </c>
      <c r="D49" s="218">
        <f t="shared" si="1"/>
        <v>11.264325320926174</v>
      </c>
      <c r="E49" s="161">
        <f t="shared" si="2"/>
        <v>11</v>
      </c>
      <c r="G49" s="164">
        <f t="shared" si="3"/>
        <v>98.19409675555379</v>
      </c>
      <c r="J49" s="121">
        <f t="shared" si="4"/>
        <v>5.86</v>
      </c>
      <c r="K49" s="121">
        <f t="shared" si="5"/>
        <v>10.55</v>
      </c>
      <c r="L49" s="121">
        <f t="shared" si="6"/>
        <v>21.68</v>
      </c>
      <c r="M49" s="121">
        <f t="shared" si="8"/>
        <v>1</v>
      </c>
    </row>
    <row r="50" spans="1:13" s="121" customFormat="1" ht="12.75">
      <c r="A50" s="161">
        <v>20</v>
      </c>
      <c r="B50" s="161">
        <f t="shared" si="7"/>
        <v>3.125</v>
      </c>
      <c r="C50" s="161">
        <f t="shared" si="0"/>
        <v>8</v>
      </c>
      <c r="D50" s="218">
        <f t="shared" si="1"/>
        <v>11.84769452660761</v>
      </c>
      <c r="E50" s="161">
        <f t="shared" si="2"/>
        <v>12</v>
      </c>
      <c r="G50" s="164">
        <f t="shared" si="3"/>
        <v>101.95976577899532</v>
      </c>
      <c r="J50" s="121">
        <f t="shared" si="4"/>
        <v>5.83</v>
      </c>
      <c r="K50" s="121">
        <f t="shared" si="5"/>
        <v>10.58</v>
      </c>
      <c r="L50" s="121">
        <f t="shared" si="6"/>
        <v>21.68</v>
      </c>
      <c r="M50" s="121">
        <f t="shared" si="8"/>
        <v>1</v>
      </c>
    </row>
    <row r="51" spans="1:13" s="121" customFormat="1" ht="12.75">
      <c r="A51" s="161">
        <v>21</v>
      </c>
      <c r="B51" s="161">
        <f t="shared" si="7"/>
        <v>3.28125</v>
      </c>
      <c r="C51" s="161">
        <f t="shared" si="0"/>
        <v>9</v>
      </c>
      <c r="D51" s="218">
        <f t="shared" si="1"/>
        <v>12.461275895063242</v>
      </c>
      <c r="E51" s="161">
        <f t="shared" si="2"/>
        <v>12</v>
      </c>
      <c r="G51" s="164">
        <f t="shared" si="3"/>
        <v>97.10453883713839</v>
      </c>
      <c r="J51" s="121">
        <f t="shared" si="4"/>
        <v>5.79</v>
      </c>
      <c r="K51" s="121">
        <f t="shared" si="5"/>
        <v>10.61</v>
      </c>
      <c r="L51" s="121">
        <f t="shared" si="6"/>
        <v>21.68</v>
      </c>
      <c r="M51" s="121">
        <f t="shared" si="8"/>
        <v>1</v>
      </c>
    </row>
    <row r="52" spans="1:13" s="121" customFormat="1" ht="12.75">
      <c r="A52" s="161">
        <v>22</v>
      </c>
      <c r="B52" s="161">
        <f t="shared" si="7"/>
        <v>3.4375</v>
      </c>
      <c r="C52" s="161">
        <f t="shared" si="0"/>
        <v>10</v>
      </c>
      <c r="D52" s="218">
        <f t="shared" si="1"/>
        <v>13.106634086838415</v>
      </c>
      <c r="E52" s="161">
        <f t="shared" si="2"/>
        <v>13</v>
      </c>
      <c r="G52" s="164">
        <f t="shared" si="3"/>
        <v>99.94576010280953</v>
      </c>
      <c r="J52" s="121">
        <f t="shared" si="4"/>
        <v>5.77</v>
      </c>
      <c r="K52" s="121">
        <f t="shared" si="5"/>
        <v>10.64</v>
      </c>
      <c r="L52" s="121">
        <f t="shared" si="6"/>
        <v>21.68</v>
      </c>
      <c r="M52" s="121">
        <f t="shared" si="8"/>
        <v>1</v>
      </c>
    </row>
    <row r="53" spans="1:13" s="121" customFormat="1" ht="12.75">
      <c r="A53" s="161">
        <v>23</v>
      </c>
      <c r="B53" s="161">
        <f t="shared" si="7"/>
        <v>3.59375</v>
      </c>
      <c r="C53" s="161">
        <f t="shared" si="0"/>
        <v>11</v>
      </c>
      <c r="D53" s="218">
        <f t="shared" si="1"/>
        <v>13.785414794830908</v>
      </c>
      <c r="E53" s="161">
        <f t="shared" si="2"/>
        <v>14</v>
      </c>
      <c r="G53" s="164">
        <f t="shared" si="3"/>
        <v>102.02538274316264</v>
      </c>
      <c r="J53" s="121">
        <f t="shared" si="4"/>
        <v>5.74</v>
      </c>
      <c r="K53" s="121">
        <f t="shared" si="5"/>
        <v>10.66</v>
      </c>
      <c r="L53" s="121">
        <f t="shared" si="6"/>
        <v>21.68</v>
      </c>
      <c r="M53" s="121">
        <f t="shared" si="8"/>
        <v>1</v>
      </c>
    </row>
    <row r="54" spans="1:13" s="121" customFormat="1" ht="12.75">
      <c r="A54" s="161">
        <v>24</v>
      </c>
      <c r="B54" s="161">
        <f t="shared" si="7"/>
        <v>3.75</v>
      </c>
      <c r="C54" s="161">
        <f t="shared" si="0"/>
        <v>12</v>
      </c>
      <c r="D54" s="218">
        <f t="shared" si="1"/>
        <v>14.49934894088311</v>
      </c>
      <c r="E54" s="161">
        <f t="shared" si="2"/>
        <v>14</v>
      </c>
      <c r="G54" s="164">
        <f t="shared" si="3"/>
        <v>97.77432512886419</v>
      </c>
      <c r="J54" s="121">
        <f t="shared" si="4"/>
        <v>5.72</v>
      </c>
      <c r="K54" s="121">
        <f t="shared" si="5"/>
        <v>10.68</v>
      </c>
      <c r="L54" s="121">
        <f t="shared" si="6"/>
        <v>21.68</v>
      </c>
      <c r="M54" s="121">
        <f t="shared" si="8"/>
        <v>1</v>
      </c>
    </row>
    <row r="55" spans="1:13" s="121" customFormat="1" ht="12.75">
      <c r="A55" s="161">
        <v>25</v>
      </c>
      <c r="B55" s="161">
        <f t="shared" si="7"/>
        <v>3.90625</v>
      </c>
      <c r="C55" s="161">
        <f t="shared" si="0"/>
        <v>13</v>
      </c>
      <c r="D55" s="218">
        <f t="shared" si="1"/>
        <v>15.250257089711813</v>
      </c>
      <c r="E55" s="161">
        <f t="shared" si="2"/>
        <v>15</v>
      </c>
      <c r="G55" s="164">
        <f t="shared" si="3"/>
        <v>99.36643895778829</v>
      </c>
      <c r="J55" s="121">
        <f t="shared" si="4"/>
        <v>5.69</v>
      </c>
      <c r="K55" s="121">
        <f t="shared" si="5"/>
        <v>10.7</v>
      </c>
      <c r="L55" s="121">
        <f t="shared" si="6"/>
        <v>21.68</v>
      </c>
      <c r="M55" s="121">
        <f t="shared" si="8"/>
        <v>1</v>
      </c>
    </row>
    <row r="56" spans="1:13" s="121" customFormat="1" ht="12.75">
      <c r="A56" s="161">
        <v>26</v>
      </c>
      <c r="B56" s="161">
        <f t="shared" si="7"/>
        <v>4.0625</v>
      </c>
      <c r="C56" s="161">
        <f t="shared" si="0"/>
        <v>14</v>
      </c>
      <c r="D56" s="218">
        <f t="shared" si="1"/>
        <v>16.040054091431514</v>
      </c>
      <c r="E56" s="161">
        <f t="shared" si="2"/>
        <v>16</v>
      </c>
      <c r="G56" s="164">
        <f t="shared" si="3"/>
        <v>100.49445471246877</v>
      </c>
      <c r="J56" s="121">
        <f t="shared" si="4"/>
        <v>5.67</v>
      </c>
      <c r="K56" s="121">
        <f t="shared" si="5"/>
        <v>10.72</v>
      </c>
      <c r="L56" s="121">
        <f t="shared" si="6"/>
        <v>21.68</v>
      </c>
      <c r="M56" s="121">
        <f t="shared" si="8"/>
        <v>1</v>
      </c>
    </row>
    <row r="57" spans="1:13" s="121" customFormat="1" ht="12.75">
      <c r="A57" s="161">
        <v>27</v>
      </c>
      <c r="B57" s="161">
        <f t="shared" si="7"/>
        <v>4.21875</v>
      </c>
      <c r="C57" s="161">
        <f t="shared" si="0"/>
        <v>15</v>
      </c>
      <c r="D57" s="218">
        <f t="shared" si="1"/>
        <v>16.87075396450977</v>
      </c>
      <c r="E57" s="161">
        <f t="shared" si="2"/>
        <v>17</v>
      </c>
      <c r="G57" s="164">
        <f t="shared" si="3"/>
        <v>101.24985371723622</v>
      </c>
      <c r="J57" s="121">
        <f t="shared" si="4"/>
        <v>5.66</v>
      </c>
      <c r="K57" s="121">
        <f t="shared" si="5"/>
        <v>10.74</v>
      </c>
      <c r="L57" s="121">
        <f t="shared" si="6"/>
        <v>21.68</v>
      </c>
      <c r="M57" s="121">
        <f t="shared" si="8"/>
        <v>1</v>
      </c>
    </row>
    <row r="58" spans="1:13" s="121" customFormat="1" ht="12.75">
      <c r="A58" s="161">
        <v>28</v>
      </c>
      <c r="B58" s="161">
        <f t="shared" si="7"/>
        <v>4.375</v>
      </c>
      <c r="C58" s="161">
        <f t="shared" si="0"/>
        <v>16</v>
      </c>
      <c r="D58" s="218">
        <f t="shared" si="1"/>
        <v>17.744475031606378</v>
      </c>
      <c r="E58" s="161">
        <f t="shared" si="2"/>
        <v>18</v>
      </c>
      <c r="G58" s="164">
        <f t="shared" si="3"/>
        <v>101.70444246261434</v>
      </c>
      <c r="J58" s="121">
        <f t="shared" si="4"/>
        <v>5.64</v>
      </c>
      <c r="K58" s="121">
        <f t="shared" si="5"/>
        <v>10.76</v>
      </c>
      <c r="L58" s="121">
        <f t="shared" si="6"/>
        <v>21.69</v>
      </c>
      <c r="M58" s="121">
        <f t="shared" si="8"/>
        <v>1</v>
      </c>
    </row>
    <row r="59" spans="1:13" s="121" customFormat="1" ht="12.75">
      <c r="A59" s="161">
        <v>29</v>
      </c>
      <c r="B59" s="161">
        <f t="shared" si="7"/>
        <v>4.53125</v>
      </c>
      <c r="C59" s="161">
        <f t="shared" si="0"/>
        <v>17</v>
      </c>
      <c r="D59" s="218">
        <f t="shared" si="1"/>
        <v>18.663445321392995</v>
      </c>
      <c r="E59" s="161">
        <f t="shared" si="2"/>
        <v>19</v>
      </c>
      <c r="G59" s="164">
        <f t="shared" si="3"/>
        <v>101.91512580275716</v>
      </c>
      <c r="J59" s="121">
        <f t="shared" si="4"/>
        <v>5.62</v>
      </c>
      <c r="K59" s="121">
        <f t="shared" si="5"/>
        <v>10.77</v>
      </c>
      <c r="L59" s="121">
        <f t="shared" si="6"/>
        <v>21.69</v>
      </c>
      <c r="M59" s="121">
        <f t="shared" si="8"/>
        <v>1</v>
      </c>
    </row>
    <row r="60" spans="1:13" s="121" customFormat="1" ht="12.75">
      <c r="A60" s="161">
        <v>30</v>
      </c>
      <c r="B60" s="161">
        <f t="shared" si="7"/>
        <v>4.6875</v>
      </c>
      <c r="C60" s="161">
        <f t="shared" si="0"/>
        <v>18</v>
      </c>
      <c r="D60" s="218">
        <f t="shared" si="1"/>
        <v>19.630008250128142</v>
      </c>
      <c r="E60" s="161">
        <f t="shared" si="2"/>
        <v>20</v>
      </c>
      <c r="G60" s="164">
        <f t="shared" si="3"/>
        <v>101.92738269629959</v>
      </c>
      <c r="J60" s="121">
        <f t="shared" si="4"/>
        <v>5.61</v>
      </c>
      <c r="K60" s="121">
        <f t="shared" si="5"/>
        <v>10.79</v>
      </c>
      <c r="L60" s="121">
        <f t="shared" si="6"/>
        <v>21.69</v>
      </c>
      <c r="M60" s="121">
        <f t="shared" si="8"/>
        <v>1</v>
      </c>
    </row>
    <row r="61" spans="1:13" s="121" customFormat="1" ht="12.75">
      <c r="A61" s="161">
        <v>31</v>
      </c>
      <c r="B61" s="161">
        <f t="shared" si="7"/>
        <v>4.84375</v>
      </c>
      <c r="C61" s="161">
        <f t="shared" si="0"/>
        <v>20</v>
      </c>
      <c r="D61" s="218">
        <f t="shared" si="1"/>
        <v>20.646628597475818</v>
      </c>
      <c r="E61" s="161">
        <f t="shared" si="2"/>
        <v>21</v>
      </c>
      <c r="G61" s="164">
        <f t="shared" si="3"/>
        <v>101.77783472471084</v>
      </c>
      <c r="J61" s="121">
        <f t="shared" si="4"/>
        <v>5.59</v>
      </c>
      <c r="K61" s="121">
        <f t="shared" si="5"/>
        <v>10.8</v>
      </c>
      <c r="L61" s="121">
        <f t="shared" si="6"/>
        <v>21.69</v>
      </c>
      <c r="M61" s="121">
        <f t="shared" si="8"/>
        <v>1</v>
      </c>
    </row>
    <row r="62" spans="1:13" s="121" customFormat="1" ht="12.75">
      <c r="A62" s="161">
        <v>32</v>
      </c>
      <c r="B62" s="161">
        <f t="shared" si="7"/>
        <v>5</v>
      </c>
      <c r="C62" s="161">
        <f aca="true" t="shared" si="9" ref="C62:C93">INT(((B62*SQRT(des_pres))/(des_spd))^2+0.5)</f>
        <v>21</v>
      </c>
      <c r="D62" s="218">
        <f aca="true" t="shared" si="10" ref="D62:D93">EXP((((max_rate*B62*noz_spc*conv_ftr)/(5940*dens*n_src))-(Noz1_pwr*v1_stat+Noz2_pwr*v2_stat+Noz3_pwr*v3_stat))/(Noz1_cons*v1_stat+Noz2_cons*v2_stat+Noz3_cons*v3_stat))</f>
        <v>21.715898791806342</v>
      </c>
      <c r="E62" s="161">
        <f t="shared" si="2"/>
        <v>22</v>
      </c>
      <c r="G62" s="164">
        <f t="shared" si="3"/>
        <v>101.49616933353438</v>
      </c>
      <c r="J62" s="121">
        <f t="shared" si="4"/>
        <v>5.58</v>
      </c>
      <c r="K62" s="121">
        <f t="shared" si="5"/>
        <v>10.81</v>
      </c>
      <c r="L62" s="121">
        <f t="shared" si="6"/>
        <v>21.69</v>
      </c>
      <c r="M62" s="121">
        <f t="shared" si="8"/>
        <v>1</v>
      </c>
    </row>
    <row r="63" spans="1:13" s="121" customFormat="1" ht="12.75">
      <c r="A63" s="161">
        <v>33</v>
      </c>
      <c r="B63" s="161">
        <f t="shared" si="7"/>
        <v>5.15625</v>
      </c>
      <c r="C63" s="161">
        <f t="shared" si="9"/>
        <v>22</v>
      </c>
      <c r="D63" s="218">
        <f t="shared" si="10"/>
        <v>22.840545521007236</v>
      </c>
      <c r="E63" s="161">
        <f t="shared" si="2"/>
        <v>23</v>
      </c>
      <c r="G63" s="164">
        <f aca="true" t="shared" si="11" ref="G63:G94">(LN(E63)*((Noz1_cons*v1_stat+Noz2_cons*v2_stat+Noz3_cons*v3_stat)/conv_ftr)+((Noz1_pwr*v1_stat+Noz2_pwr*v2_stat+Noz3_pwr*v3_stat)/conv_ftr))*n_src*dens*5940/(noz_spc*B63)</f>
        <v>101.10659705566304</v>
      </c>
      <c r="J63" s="121">
        <f aca="true" t="shared" si="12" ref="J63:J94">ROUND(((v1_stat*Noz1_cons*LN(D63)+v1_stat*Noz1_pwr)*5940/(B63*noz_spc)),2)</f>
        <v>5.57</v>
      </c>
      <c r="K63" s="121">
        <f aca="true" t="shared" si="13" ref="K63:K94">ROUND(((v2_stat*Noz2_cons*LN(D63)+v2_stat*Noz2_pwr)*5940/(B63*noz_spc)),2)</f>
        <v>10.83</v>
      </c>
      <c r="L63" s="121">
        <f aca="true" t="shared" si="14" ref="L63:L94">ROUND(((v3_stat*Noz3_cons*LN(D63)+v3_stat*Noz3_pwr)*5940/(B63*noz_spc)),2)</f>
        <v>21.69</v>
      </c>
      <c r="M63" s="121">
        <f t="shared" si="8"/>
        <v>1</v>
      </c>
    </row>
    <row r="64" spans="1:13" s="121" customFormat="1" ht="12.75">
      <c r="A64" s="161">
        <v>34</v>
      </c>
      <c r="B64" s="161">
        <f t="shared" si="7"/>
        <v>5.3125</v>
      </c>
      <c r="C64" s="161">
        <f t="shared" si="9"/>
        <v>24</v>
      </c>
      <c r="D64" s="218">
        <f t="shared" si="10"/>
        <v>24.023436685662013</v>
      </c>
      <c r="E64" s="161">
        <f t="shared" si="2"/>
        <v>24</v>
      </c>
      <c r="G64" s="164">
        <f t="shared" si="11"/>
        <v>100.6289675263966</v>
      </c>
      <c r="J64" s="121">
        <f t="shared" si="12"/>
        <v>5.56</v>
      </c>
      <c r="K64" s="121">
        <f t="shared" si="13"/>
        <v>10.84</v>
      </c>
      <c r="L64" s="121">
        <f t="shared" si="14"/>
        <v>21.69</v>
      </c>
      <c r="M64" s="121">
        <f t="shared" si="8"/>
        <v>1</v>
      </c>
    </row>
    <row r="65" spans="1:13" s="121" customFormat="1" ht="12.75">
      <c r="A65" s="161">
        <v>35</v>
      </c>
      <c r="B65" s="161">
        <f t="shared" si="7"/>
        <v>5.46875</v>
      </c>
      <c r="C65" s="161">
        <f t="shared" si="9"/>
        <v>25</v>
      </c>
      <c r="D65" s="218">
        <f t="shared" si="10"/>
        <v>25.26758871232778</v>
      </c>
      <c r="E65" s="161">
        <f t="shared" si="2"/>
        <v>25</v>
      </c>
      <c r="G65" s="164">
        <f t="shared" si="11"/>
        <v>100.07963255010826</v>
      </c>
      <c r="J65" s="121">
        <f t="shared" si="12"/>
        <v>5.55</v>
      </c>
      <c r="K65" s="121">
        <f t="shared" si="13"/>
        <v>10.85</v>
      </c>
      <c r="L65" s="121">
        <f t="shared" si="14"/>
        <v>21.69</v>
      </c>
      <c r="M65" s="121">
        <f t="shared" si="8"/>
        <v>1</v>
      </c>
    </row>
    <row r="66" spans="1:13" s="121" customFormat="1" ht="12.75">
      <c r="A66" s="161">
        <v>36</v>
      </c>
      <c r="B66" s="161">
        <f t="shared" si="7"/>
        <v>5.625</v>
      </c>
      <c r="C66" s="161">
        <f t="shared" si="9"/>
        <v>26</v>
      </c>
      <c r="D66" s="218">
        <f t="shared" si="10"/>
        <v>26.57617424556091</v>
      </c>
      <c r="E66" s="161">
        <f t="shared" si="2"/>
        <v>27</v>
      </c>
      <c r="G66" s="164">
        <f t="shared" si="11"/>
        <v>101.56259617573605</v>
      </c>
      <c r="J66" s="121">
        <f t="shared" si="12"/>
        <v>5.54</v>
      </c>
      <c r="K66" s="121">
        <f t="shared" si="13"/>
        <v>10.86</v>
      </c>
      <c r="L66" s="121">
        <f t="shared" si="14"/>
        <v>21.69</v>
      </c>
      <c r="M66" s="121">
        <f t="shared" si="8"/>
        <v>1</v>
      </c>
    </row>
    <row r="67" spans="1:13" s="121" customFormat="1" ht="12.75">
      <c r="A67" s="161">
        <v>37</v>
      </c>
      <c r="B67" s="161">
        <f t="shared" si="7"/>
        <v>5.78125</v>
      </c>
      <c r="C67" s="161">
        <f t="shared" si="9"/>
        <v>28</v>
      </c>
      <c r="D67" s="218">
        <f t="shared" si="10"/>
        <v>27.952530238305762</v>
      </c>
      <c r="E67" s="161">
        <f t="shared" si="2"/>
        <v>28</v>
      </c>
      <c r="G67" s="164">
        <f t="shared" si="11"/>
        <v>100.77765901108967</v>
      </c>
      <c r="J67" s="121">
        <f t="shared" si="12"/>
        <v>5.53</v>
      </c>
      <c r="K67" s="121">
        <f t="shared" si="13"/>
        <v>10.87</v>
      </c>
      <c r="L67" s="121">
        <f t="shared" si="14"/>
        <v>21.69</v>
      </c>
      <c r="M67" s="121">
        <f t="shared" si="8"/>
        <v>1</v>
      </c>
    </row>
    <row r="68" spans="1:13" s="121" customFormat="1" ht="12.75">
      <c r="A68" s="161">
        <v>38</v>
      </c>
      <c r="B68" s="161">
        <f t="shared" si="7"/>
        <v>5.9375</v>
      </c>
      <c r="C68" s="161">
        <f t="shared" si="9"/>
        <v>29</v>
      </c>
      <c r="D68" s="218">
        <f t="shared" si="10"/>
        <v>29.40016646127717</v>
      </c>
      <c r="E68" s="161">
        <f t="shared" si="2"/>
        <v>29</v>
      </c>
      <c r="G68" s="164">
        <f t="shared" si="11"/>
        <v>99.96705826579013</v>
      </c>
      <c r="J68" s="121">
        <f t="shared" si="12"/>
        <v>5.52</v>
      </c>
      <c r="K68" s="121">
        <f t="shared" si="13"/>
        <v>10.88</v>
      </c>
      <c r="L68" s="121">
        <f t="shared" si="14"/>
        <v>21.69</v>
      </c>
      <c r="M68" s="121">
        <f t="shared" si="8"/>
        <v>1</v>
      </c>
    </row>
    <row r="69" spans="1:13" s="121" customFormat="1" ht="12.75">
      <c r="A69" s="161">
        <v>39</v>
      </c>
      <c r="B69" s="161">
        <f t="shared" si="7"/>
        <v>6.09375</v>
      </c>
      <c r="C69" s="161">
        <f t="shared" si="9"/>
        <v>31</v>
      </c>
      <c r="D69" s="218">
        <f t="shared" si="10"/>
        <v>30.922774453036315</v>
      </c>
      <c r="E69" s="161">
        <f t="shared" si="2"/>
        <v>31</v>
      </c>
      <c r="G69" s="164">
        <f t="shared" si="11"/>
        <v>100.81374411072831</v>
      </c>
      <c r="J69" s="121">
        <f t="shared" si="12"/>
        <v>5.51</v>
      </c>
      <c r="K69" s="121">
        <f t="shared" si="13"/>
        <v>10.88</v>
      </c>
      <c r="L69" s="121">
        <f t="shared" si="14"/>
        <v>21.69</v>
      </c>
      <c r="M69" s="121">
        <f t="shared" si="8"/>
        <v>1</v>
      </c>
    </row>
    <row r="70" spans="1:13" s="121" customFormat="1" ht="12.75">
      <c r="A70" s="161">
        <v>40</v>
      </c>
      <c r="B70" s="161">
        <f t="shared" si="7"/>
        <v>6.25</v>
      </c>
      <c r="C70" s="161">
        <f t="shared" si="9"/>
        <v>33</v>
      </c>
      <c r="D70" s="218">
        <f t="shared" si="10"/>
        <v>32.52423693358288</v>
      </c>
      <c r="E70" s="161">
        <f t="shared" si="2"/>
        <v>33</v>
      </c>
      <c r="G70" s="164">
        <f t="shared" si="11"/>
        <v>101.41016230115987</v>
      </c>
      <c r="J70" s="121">
        <f t="shared" si="12"/>
        <v>5.5</v>
      </c>
      <c r="K70" s="121">
        <f t="shared" si="13"/>
        <v>10.89</v>
      </c>
      <c r="L70" s="121">
        <f t="shared" si="14"/>
        <v>21.69</v>
      </c>
      <c r="M70" s="121">
        <f t="shared" si="8"/>
        <v>1</v>
      </c>
    </row>
    <row r="71" spans="1:13" s="121" customFormat="1" ht="12.75">
      <c r="A71" s="161">
        <v>41</v>
      </c>
      <c r="B71" s="161">
        <f t="shared" si="7"/>
        <v>6.40625</v>
      </c>
      <c r="C71" s="161">
        <f t="shared" si="9"/>
        <v>34</v>
      </c>
      <c r="D71" s="218">
        <f t="shared" si="10"/>
        <v>34.208637705468504</v>
      </c>
      <c r="E71" s="161">
        <f t="shared" si="2"/>
        <v>34</v>
      </c>
      <c r="G71" s="164">
        <f t="shared" si="11"/>
        <v>100.38867391909648</v>
      </c>
      <c r="J71" s="121">
        <f t="shared" si="12"/>
        <v>5.49</v>
      </c>
      <c r="K71" s="121">
        <f t="shared" si="13"/>
        <v>10.9</v>
      </c>
      <c r="L71" s="121">
        <f t="shared" si="14"/>
        <v>21.69</v>
      </c>
      <c r="M71" s="121">
        <f t="shared" si="8"/>
        <v>1</v>
      </c>
    </row>
    <row r="72" spans="1:13" s="121" customFormat="1" ht="12.75">
      <c r="A72" s="161">
        <v>42</v>
      </c>
      <c r="B72" s="161">
        <f t="shared" si="7"/>
        <v>6.5625</v>
      </c>
      <c r="C72" s="161">
        <f t="shared" si="9"/>
        <v>36</v>
      </c>
      <c r="D72" s="218">
        <f t="shared" si="10"/>
        <v>35.980272067680104</v>
      </c>
      <c r="E72" s="161">
        <f t="shared" si="2"/>
        <v>36</v>
      </c>
      <c r="G72" s="164">
        <f t="shared" si="11"/>
        <v>100.71223736358999</v>
      </c>
      <c r="J72" s="121">
        <f t="shared" si="12"/>
        <v>5.48</v>
      </c>
      <c r="K72" s="121">
        <f t="shared" si="13"/>
        <v>10.91</v>
      </c>
      <c r="L72" s="121">
        <f t="shared" si="14"/>
        <v>21.69</v>
      </c>
      <c r="M72" s="121">
        <f t="shared" si="8"/>
        <v>1</v>
      </c>
    </row>
    <row r="73" spans="1:13" s="121" customFormat="1" ht="12.75">
      <c r="A73" s="161">
        <v>43</v>
      </c>
      <c r="B73" s="161">
        <f t="shared" si="7"/>
        <v>6.71875</v>
      </c>
      <c r="C73" s="161">
        <f t="shared" si="9"/>
        <v>38</v>
      </c>
      <c r="D73" s="218">
        <f t="shared" si="10"/>
        <v>37.843657768848644</v>
      </c>
      <c r="E73" s="161">
        <f t="shared" si="2"/>
        <v>38</v>
      </c>
      <c r="G73" s="164">
        <f t="shared" si="11"/>
        <v>100.87740066505897</v>
      </c>
      <c r="J73" s="121">
        <f t="shared" si="12"/>
        <v>5.48</v>
      </c>
      <c r="K73" s="121">
        <f t="shared" si="13"/>
        <v>10.91</v>
      </c>
      <c r="L73" s="121">
        <f t="shared" si="14"/>
        <v>21.69</v>
      </c>
      <c r="M73" s="121">
        <f t="shared" si="8"/>
        <v>1</v>
      </c>
    </row>
    <row r="74" spans="1:13" s="121" customFormat="1" ht="12.75">
      <c r="A74" s="161">
        <v>44</v>
      </c>
      <c r="B74" s="161">
        <f t="shared" si="7"/>
        <v>6.875</v>
      </c>
      <c r="C74" s="161">
        <f t="shared" si="9"/>
        <v>39</v>
      </c>
      <c r="D74" s="218">
        <f t="shared" si="10"/>
        <v>39.803546527714666</v>
      </c>
      <c r="E74" s="161">
        <f t="shared" si="2"/>
        <v>40</v>
      </c>
      <c r="G74" s="164">
        <f t="shared" si="11"/>
        <v>100.90934230014925</v>
      </c>
      <c r="J74" s="121">
        <f t="shared" si="12"/>
        <v>5.47</v>
      </c>
      <c r="K74" s="121">
        <f t="shared" si="13"/>
        <v>10.92</v>
      </c>
      <c r="L74" s="121">
        <f t="shared" si="14"/>
        <v>21.69</v>
      </c>
      <c r="M74" s="121">
        <f t="shared" si="8"/>
        <v>1</v>
      </c>
    </row>
    <row r="75" spans="1:13" s="121" customFormat="1" ht="12.75">
      <c r="A75" s="161">
        <v>45</v>
      </c>
      <c r="B75" s="161">
        <f t="shared" si="7"/>
        <v>7.03125</v>
      </c>
      <c r="C75" s="161">
        <f t="shared" si="9"/>
        <v>41</v>
      </c>
      <c r="D75" s="218">
        <f t="shared" si="10"/>
        <v>41.86493615022848</v>
      </c>
      <c r="E75" s="161">
        <f t="shared" si="2"/>
        <v>42</v>
      </c>
      <c r="G75" s="164">
        <f t="shared" si="11"/>
        <v>100.82894348408031</v>
      </c>
      <c r="J75" s="121">
        <f t="shared" si="12"/>
        <v>5.46</v>
      </c>
      <c r="K75" s="121">
        <f t="shared" si="13"/>
        <v>10.93</v>
      </c>
      <c r="L75" s="121">
        <f t="shared" si="14"/>
        <v>21.69</v>
      </c>
      <c r="M75" s="121">
        <f t="shared" si="8"/>
        <v>1</v>
      </c>
    </row>
    <row r="76" spans="1:13" s="121" customFormat="1" ht="12.75">
      <c r="A76" s="161">
        <v>46</v>
      </c>
      <c r="B76" s="161">
        <f t="shared" si="7"/>
        <v>7.1875</v>
      </c>
      <c r="C76" s="161">
        <f t="shared" si="9"/>
        <v>43</v>
      </c>
      <c r="D76" s="218">
        <f t="shared" si="10"/>
        <v>44.03308327418371</v>
      </c>
      <c r="E76" s="161">
        <f t="shared" si="2"/>
        <v>44</v>
      </c>
      <c r="G76" s="164">
        <f t="shared" si="11"/>
        <v>100.6536304128408</v>
      </c>
      <c r="J76" s="121">
        <f t="shared" si="12"/>
        <v>5.46</v>
      </c>
      <c r="K76" s="121">
        <f t="shared" si="13"/>
        <v>10.93</v>
      </c>
      <c r="L76" s="121">
        <f t="shared" si="14"/>
        <v>21.69</v>
      </c>
      <c r="M76" s="121">
        <f t="shared" si="8"/>
        <v>1</v>
      </c>
    </row>
    <row r="77" spans="1:13" s="121" customFormat="1" ht="12.75">
      <c r="A77" s="161">
        <v>47</v>
      </c>
      <c r="B77" s="161">
        <f t="shared" si="7"/>
        <v>7.34375</v>
      </c>
      <c r="C77" s="161">
        <f t="shared" si="9"/>
        <v>45</v>
      </c>
      <c r="D77" s="218">
        <f t="shared" si="10"/>
        <v>46.313516773884295</v>
      </c>
      <c r="E77" s="161">
        <f t="shared" si="2"/>
        <v>46</v>
      </c>
      <c r="G77" s="164">
        <f t="shared" si="11"/>
        <v>100.3980273011587</v>
      </c>
      <c r="J77" s="121">
        <f t="shared" si="12"/>
        <v>5.45</v>
      </c>
      <c r="K77" s="121">
        <f t="shared" si="13"/>
        <v>10.94</v>
      </c>
      <c r="L77" s="121">
        <f t="shared" si="14"/>
        <v>21.69</v>
      </c>
      <c r="M77" s="121">
        <f t="shared" si="8"/>
        <v>1</v>
      </c>
    </row>
    <row r="78" spans="1:13" s="121" customFormat="1" ht="12.75">
      <c r="A78" s="161">
        <v>48</v>
      </c>
      <c r="B78" s="161">
        <f t="shared" si="7"/>
        <v>7.5</v>
      </c>
      <c r="C78" s="161">
        <f t="shared" si="9"/>
        <v>47</v>
      </c>
      <c r="D78" s="218">
        <f t="shared" si="10"/>
        <v>48.71205185902627</v>
      </c>
      <c r="E78" s="161">
        <f t="shared" si="2"/>
        <v>49</v>
      </c>
      <c r="G78" s="164">
        <f t="shared" si="11"/>
        <v>100.93106133950933</v>
      </c>
      <c r="J78" s="121">
        <f t="shared" si="12"/>
        <v>5.44</v>
      </c>
      <c r="K78" s="121">
        <f t="shared" si="13"/>
        <v>10.94</v>
      </c>
      <c r="L78" s="121">
        <f t="shared" si="14"/>
        <v>21.69</v>
      </c>
      <c r="M78" s="121">
        <f t="shared" si="8"/>
        <v>1</v>
      </c>
    </row>
    <row r="79" spans="1:13" s="121" customFormat="1" ht="12.75">
      <c r="A79" s="161">
        <v>49</v>
      </c>
      <c r="B79" s="161">
        <f t="shared" si="7"/>
        <v>7.65625</v>
      </c>
      <c r="C79" s="161">
        <f t="shared" si="9"/>
        <v>49</v>
      </c>
      <c r="D79" s="218">
        <f t="shared" si="10"/>
        <v>51.2348049037489</v>
      </c>
      <c r="E79" s="161">
        <f t="shared" si="2"/>
        <v>51</v>
      </c>
      <c r="G79" s="164">
        <f t="shared" si="11"/>
        <v>100.49927967461734</v>
      </c>
      <c r="J79" s="121">
        <f t="shared" si="12"/>
        <v>5.44</v>
      </c>
      <c r="K79" s="121">
        <f t="shared" si="13"/>
        <v>10.95</v>
      </c>
      <c r="L79" s="121">
        <f t="shared" si="14"/>
        <v>21.69</v>
      </c>
      <c r="M79" s="121">
        <f t="shared" si="8"/>
        <v>1</v>
      </c>
    </row>
    <row r="80" spans="1:13" s="121" customFormat="1" ht="12.75">
      <c r="A80" s="161">
        <v>50</v>
      </c>
      <c r="B80" s="161">
        <f t="shared" si="7"/>
        <v>7.8125</v>
      </c>
      <c r="C80" s="161">
        <f t="shared" si="9"/>
        <v>51</v>
      </c>
      <c r="D80" s="218">
        <f t="shared" si="10"/>
        <v>53.88820904366818</v>
      </c>
      <c r="E80" s="161">
        <f t="shared" si="2"/>
        <v>54</v>
      </c>
      <c r="G80" s="164">
        <f t="shared" si="11"/>
        <v>100.76886085288147</v>
      </c>
      <c r="J80" s="121">
        <f t="shared" si="12"/>
        <v>5.43</v>
      </c>
      <c r="K80" s="121">
        <f t="shared" si="13"/>
        <v>10.95</v>
      </c>
      <c r="L80" s="121">
        <f t="shared" si="14"/>
        <v>21.69</v>
      </c>
      <c r="M80" s="121">
        <f t="shared" si="8"/>
        <v>1</v>
      </c>
    </row>
    <row r="81" spans="1:13" s="121" customFormat="1" ht="12.75">
      <c r="A81" s="161">
        <v>51</v>
      </c>
      <c r="B81" s="161">
        <f t="shared" si="7"/>
        <v>7.96875</v>
      </c>
      <c r="C81" s="161">
        <f t="shared" si="9"/>
        <v>53</v>
      </c>
      <c r="D81" s="218">
        <f t="shared" si="10"/>
        <v>56.6790305806668</v>
      </c>
      <c r="E81" s="161">
        <f t="shared" si="2"/>
        <v>57</v>
      </c>
      <c r="G81" s="164">
        <f t="shared" si="11"/>
        <v>100.9070059209967</v>
      </c>
      <c r="J81" s="121">
        <f t="shared" si="12"/>
        <v>5.43</v>
      </c>
      <c r="K81" s="121">
        <f t="shared" si="13"/>
        <v>10.96</v>
      </c>
      <c r="L81" s="121">
        <f t="shared" si="14"/>
        <v>21.69</v>
      </c>
      <c r="M81" s="121">
        <f t="shared" si="8"/>
        <v>1</v>
      </c>
    </row>
    <row r="82" spans="1:13" s="121" customFormat="1" ht="12.75">
      <c r="A82" s="161">
        <v>52</v>
      </c>
      <c r="B82" s="161">
        <f t="shared" si="7"/>
        <v>8.125</v>
      </c>
      <c r="C82" s="161">
        <f t="shared" si="9"/>
        <v>55</v>
      </c>
      <c r="D82" s="218">
        <f t="shared" si="10"/>
        <v>59.61438623727336</v>
      </c>
      <c r="E82" s="161">
        <f t="shared" si="2"/>
        <v>60</v>
      </c>
      <c r="G82" s="164">
        <f t="shared" si="11"/>
        <v>100.93346412653577</v>
      </c>
      <c r="J82" s="121">
        <f t="shared" si="12"/>
        <v>5.42</v>
      </c>
      <c r="K82" s="121">
        <f t="shared" si="13"/>
        <v>10.96</v>
      </c>
      <c r="L82" s="121">
        <f t="shared" si="14"/>
        <v>21.69</v>
      </c>
      <c r="M82" s="121">
        <f t="shared" si="8"/>
        <v>1</v>
      </c>
    </row>
    <row r="83" spans="1:13" s="121" customFormat="1" ht="12.75">
      <c r="A83" s="161">
        <v>53</v>
      </c>
      <c r="B83" s="161">
        <f t="shared" si="7"/>
        <v>8.28125</v>
      </c>
      <c r="C83" s="161">
        <f t="shared" si="9"/>
        <v>57</v>
      </c>
      <c r="D83" s="218">
        <f t="shared" si="10"/>
        <v>62.70176130463023</v>
      </c>
      <c r="E83" s="161">
        <f t="shared" si="2"/>
        <v>63</v>
      </c>
      <c r="G83" s="164">
        <f t="shared" si="11"/>
        <v>100.86474585201715</v>
      </c>
      <c r="J83" s="121">
        <f t="shared" si="12"/>
        <v>5.42</v>
      </c>
      <c r="K83" s="121">
        <f t="shared" si="13"/>
        <v>10.97</v>
      </c>
      <c r="L83" s="121">
        <f t="shared" si="14"/>
        <v>21.69</v>
      </c>
      <c r="M83" s="121">
        <f t="shared" si="8"/>
        <v>1</v>
      </c>
    </row>
    <row r="84" spans="1:13" s="121" customFormat="1" ht="12.75">
      <c r="A84" s="161">
        <v>54</v>
      </c>
      <c r="B84" s="161">
        <f t="shared" si="7"/>
        <v>8.4375</v>
      </c>
      <c r="C84" s="161">
        <f t="shared" si="9"/>
        <v>59</v>
      </c>
      <c r="D84" s="218">
        <f t="shared" si="10"/>
        <v>65.9490287303283</v>
      </c>
      <c r="E84" s="161">
        <f t="shared" si="2"/>
        <v>66</v>
      </c>
      <c r="G84" s="164">
        <f t="shared" si="11"/>
        <v>100.71474208081426</v>
      </c>
      <c r="J84" s="121">
        <f t="shared" si="12"/>
        <v>5.41</v>
      </c>
      <c r="K84" s="121">
        <f t="shared" si="13"/>
        <v>10.97</v>
      </c>
      <c r="L84" s="121">
        <f t="shared" si="14"/>
        <v>21.69</v>
      </c>
      <c r="M84" s="121">
        <f t="shared" si="8"/>
        <v>1</v>
      </c>
    </row>
    <row r="85" spans="1:13" s="121" customFormat="1" ht="12.75">
      <c r="A85" s="161">
        <v>55</v>
      </c>
      <c r="B85" s="161">
        <f t="shared" si="7"/>
        <v>8.59375</v>
      </c>
      <c r="C85" s="161">
        <f t="shared" si="9"/>
        <v>62</v>
      </c>
      <c r="D85" s="218">
        <f t="shared" si="10"/>
        <v>69.36446919478306</v>
      </c>
      <c r="E85" s="161">
        <f t="shared" si="2"/>
        <v>69</v>
      </c>
      <c r="G85" s="164">
        <f t="shared" si="11"/>
        <v>100.49520648232279</v>
      </c>
      <c r="J85" s="121">
        <f t="shared" si="12"/>
        <v>5.41</v>
      </c>
      <c r="K85" s="121">
        <f t="shared" si="13"/>
        <v>10.98</v>
      </c>
      <c r="L85" s="121">
        <f t="shared" si="14"/>
        <v>21.7</v>
      </c>
      <c r="M85" s="121">
        <f t="shared" si="8"/>
        <v>1</v>
      </c>
    </row>
    <row r="86" spans="1:13" s="121" customFormat="1" ht="12.75">
      <c r="A86" s="161">
        <v>56</v>
      </c>
      <c r="B86" s="161">
        <f t="shared" si="7"/>
        <v>8.75</v>
      </c>
      <c r="C86" s="161">
        <f t="shared" si="9"/>
        <v>64</v>
      </c>
      <c r="D86" s="218">
        <f t="shared" si="10"/>
        <v>72.95679222734863</v>
      </c>
      <c r="E86" s="161">
        <f t="shared" si="2"/>
        <v>73</v>
      </c>
      <c r="G86" s="164">
        <f t="shared" si="11"/>
        <v>100.70729483092289</v>
      </c>
      <c r="J86" s="121">
        <f t="shared" si="12"/>
        <v>5.41</v>
      </c>
      <c r="K86" s="121">
        <f t="shared" si="13"/>
        <v>10.98</v>
      </c>
      <c r="L86" s="121">
        <f t="shared" si="14"/>
        <v>21.7</v>
      </c>
      <c r="M86" s="121">
        <f t="shared" si="8"/>
        <v>1</v>
      </c>
    </row>
    <row r="87" spans="1:13" s="121" customFormat="1" ht="12.75">
      <c r="A87" s="161">
        <v>57</v>
      </c>
      <c r="B87" s="161">
        <f t="shared" si="7"/>
        <v>8.90625</v>
      </c>
      <c r="C87" s="161">
        <f t="shared" si="9"/>
        <v>66</v>
      </c>
      <c r="D87" s="218">
        <f t="shared" si="10"/>
        <v>76.73515841601568</v>
      </c>
      <c r="E87" s="161">
        <f t="shared" si="2"/>
        <v>77</v>
      </c>
      <c r="G87" s="164">
        <f t="shared" si="11"/>
        <v>100.8067466645054</v>
      </c>
      <c r="J87" s="121">
        <f t="shared" si="12"/>
        <v>5.4</v>
      </c>
      <c r="K87" s="121">
        <f t="shared" si="13"/>
        <v>10.99</v>
      </c>
      <c r="L87" s="121">
        <f t="shared" si="14"/>
        <v>21.7</v>
      </c>
      <c r="M87" s="121">
        <f t="shared" si="8"/>
        <v>1</v>
      </c>
    </row>
    <row r="88" spans="1:13" s="121" customFormat="1" ht="12.75">
      <c r="A88" s="161">
        <v>58</v>
      </c>
      <c r="B88" s="161">
        <f t="shared" si="7"/>
        <v>9.0625</v>
      </c>
      <c r="C88" s="161">
        <f t="shared" si="9"/>
        <v>68</v>
      </c>
      <c r="D88" s="218">
        <f t="shared" si="10"/>
        <v>80.70920276732967</v>
      </c>
      <c r="E88" s="161">
        <f t="shared" si="2"/>
        <v>81</v>
      </c>
      <c r="G88" s="164">
        <f t="shared" si="11"/>
        <v>100.80986406926499</v>
      </c>
      <c r="J88" s="121">
        <f t="shared" si="12"/>
        <v>5.4</v>
      </c>
      <c r="K88" s="121">
        <f t="shared" si="13"/>
        <v>10.99</v>
      </c>
      <c r="L88" s="121">
        <f t="shared" si="14"/>
        <v>21.7</v>
      </c>
      <c r="M88" s="121">
        <f t="shared" si="8"/>
        <v>1</v>
      </c>
    </row>
    <row r="89" spans="1:13" s="121" customFormat="1" ht="12.75">
      <c r="A89" s="161">
        <v>59</v>
      </c>
      <c r="B89" s="161">
        <f t="shared" si="7"/>
        <v>9.21875</v>
      </c>
      <c r="C89" s="161">
        <f t="shared" si="9"/>
        <v>71</v>
      </c>
      <c r="D89" s="218">
        <f t="shared" si="10"/>
        <v>84.88905927609812</v>
      </c>
      <c r="E89" s="161">
        <f t="shared" si="2"/>
        <v>85</v>
      </c>
      <c r="G89" s="164">
        <f t="shared" si="11"/>
        <v>100.73035371805649</v>
      </c>
      <c r="J89" s="121">
        <f t="shared" si="12"/>
        <v>5.39</v>
      </c>
      <c r="K89" s="121">
        <f t="shared" si="13"/>
        <v>10.99</v>
      </c>
      <c r="L89" s="121">
        <f t="shared" si="14"/>
        <v>21.7</v>
      </c>
      <c r="M89" s="121">
        <f t="shared" si="8"/>
        <v>1</v>
      </c>
    </row>
    <row r="90" spans="1:13" s="121" customFormat="1" ht="12.75">
      <c r="A90" s="161">
        <v>60</v>
      </c>
      <c r="B90" s="161">
        <f t="shared" si="7"/>
        <v>9.375</v>
      </c>
      <c r="C90" s="161">
        <f t="shared" si="9"/>
        <v>73</v>
      </c>
      <c r="D90" s="218">
        <f t="shared" si="10"/>
        <v>89.28538676754077</v>
      </c>
      <c r="E90" s="161">
        <f t="shared" si="2"/>
        <v>89</v>
      </c>
      <c r="G90" s="164">
        <f t="shared" si="11"/>
        <v>100.57981290749714</v>
      </c>
      <c r="J90" s="121">
        <f t="shared" si="12"/>
        <v>5.39</v>
      </c>
      <c r="K90" s="121">
        <f t="shared" si="13"/>
        <v>11</v>
      </c>
      <c r="L90" s="121">
        <f t="shared" si="14"/>
        <v>21.7</v>
      </c>
      <c r="M90" s="121">
        <f t="shared" si="8"/>
        <v>1</v>
      </c>
    </row>
    <row r="91" spans="1:13" s="121" customFormat="1" ht="12.75">
      <c r="A91" s="161">
        <v>61</v>
      </c>
      <c r="B91" s="161">
        <f t="shared" si="7"/>
        <v>9.53125</v>
      </c>
      <c r="C91" s="161">
        <f t="shared" si="9"/>
        <v>76</v>
      </c>
      <c r="D91" s="218">
        <f t="shared" si="10"/>
        <v>93.90939607778121</v>
      </c>
      <c r="E91" s="161">
        <f t="shared" si="2"/>
        <v>94</v>
      </c>
      <c r="G91" s="164">
        <f t="shared" si="11"/>
        <v>100.7177363165322</v>
      </c>
      <c r="J91" s="121">
        <f t="shared" si="12"/>
        <v>5.39</v>
      </c>
      <c r="K91" s="121">
        <f t="shared" si="13"/>
        <v>11</v>
      </c>
      <c r="L91" s="121">
        <f t="shared" si="14"/>
        <v>21.7</v>
      </c>
      <c r="M91" s="121">
        <f t="shared" si="8"/>
        <v>1</v>
      </c>
    </row>
    <row r="92" spans="1:13" s="121" customFormat="1" ht="12.75">
      <c r="A92" s="161">
        <v>62</v>
      </c>
      <c r="B92" s="161">
        <f t="shared" si="7"/>
        <v>9.6875</v>
      </c>
      <c r="C92" s="161">
        <f t="shared" si="9"/>
        <v>78</v>
      </c>
      <c r="D92" s="218">
        <f t="shared" si="10"/>
        <v>98.7728786419916</v>
      </c>
      <c r="E92" s="161">
        <f t="shared" si="2"/>
        <v>99</v>
      </c>
      <c r="G92" s="164">
        <f t="shared" si="11"/>
        <v>100.76008299576236</v>
      </c>
      <c r="J92" s="121">
        <f t="shared" si="12"/>
        <v>5.38</v>
      </c>
      <c r="K92" s="121">
        <f t="shared" si="13"/>
        <v>11</v>
      </c>
      <c r="L92" s="121">
        <f t="shared" si="14"/>
        <v>21.7</v>
      </c>
      <c r="M92" s="121">
        <f t="shared" si="8"/>
        <v>1</v>
      </c>
    </row>
    <row r="93" spans="1:13" s="121" customFormat="1" ht="12.75">
      <c r="A93" s="161">
        <v>63</v>
      </c>
      <c r="B93" s="161">
        <f t="shared" si="7"/>
        <v>9.84375</v>
      </c>
      <c r="C93" s="161">
        <f t="shared" si="9"/>
        <v>81</v>
      </c>
      <c r="D93" s="218">
        <f t="shared" si="10"/>
        <v>103.8882365630917</v>
      </c>
      <c r="E93" s="161">
        <f t="shared" si="2"/>
        <v>104</v>
      </c>
      <c r="G93" s="164">
        <f t="shared" si="11"/>
        <v>100.72024544784983</v>
      </c>
      <c r="J93" s="121">
        <f t="shared" si="12"/>
        <v>5.38</v>
      </c>
      <c r="K93" s="121">
        <f t="shared" si="13"/>
        <v>11.01</v>
      </c>
      <c r="L93" s="121">
        <f t="shared" si="14"/>
        <v>21.7</v>
      </c>
      <c r="M93" s="121">
        <f t="shared" si="8"/>
        <v>1</v>
      </c>
    </row>
    <row r="94" spans="1:13" s="121" customFormat="1" ht="12.75">
      <c r="A94" s="161">
        <v>64</v>
      </c>
      <c r="B94" s="161">
        <f t="shared" si="7"/>
        <v>10</v>
      </c>
      <c r="C94" s="161">
        <f aca="true" t="shared" si="15" ref="C94:C125">INT(((B94*SQRT(des_pres))/(des_spd))^2+0.5)</f>
        <v>83</v>
      </c>
      <c r="D94" s="218">
        <f aca="true" t="shared" si="16" ref="D94:D125">EXP((((max_rate*B94*noz_spc*conv_ftr)/(5940*dens*n_src))-(Noz1_pwr*v1_stat+Noz2_pwr*v2_stat+Noz3_pwr*v3_stat))/(Noz1_cons*v1_stat+Noz2_cons*v2_stat+Noz3_cons*v3_stat))</f>
        <v>109.26851423767792</v>
      </c>
      <c r="E94" s="161">
        <f t="shared" si="2"/>
        <v>109</v>
      </c>
      <c r="G94" s="164">
        <f t="shared" si="11"/>
        <v>100.60955238483285</v>
      </c>
      <c r="J94" s="121">
        <f t="shared" si="12"/>
        <v>5.38</v>
      </c>
      <c r="K94" s="121">
        <f t="shared" si="13"/>
        <v>11.01</v>
      </c>
      <c r="L94" s="121">
        <f t="shared" si="14"/>
        <v>21.7</v>
      </c>
      <c r="M94" s="121">
        <f t="shared" si="8"/>
        <v>1</v>
      </c>
    </row>
    <row r="95" spans="1:13" s="121" customFormat="1" ht="12.75">
      <c r="A95" s="161">
        <v>65</v>
      </c>
      <c r="B95" s="161">
        <f t="shared" si="7"/>
        <v>10.15625</v>
      </c>
      <c r="C95" s="161">
        <f t="shared" si="15"/>
        <v>86</v>
      </c>
      <c r="D95" s="218">
        <f t="shared" si="16"/>
        <v>114.92743161983172</v>
      </c>
      <c r="E95" s="161">
        <f aca="true" t="shared" si="17" ref="E95:E158">ROUND(D95,0)</f>
        <v>115</v>
      </c>
      <c r="G95" s="164">
        <f aca="true" t="shared" si="18" ref="G95:G126">(LN(E95)*((Noz1_cons*v1_stat+Noz2_cons*v2_stat+Noz3_cons*v3_stat)/conv_ftr)+((Noz1_pwr*v1_stat+Noz2_pwr*v2_stat+Noz3_pwr*v3_stat)/conv_ftr))*n_src*dens*5940/(noz_spc*B95)</f>
        <v>100.70557725902823</v>
      </c>
      <c r="J95" s="121">
        <f aca="true" t="shared" si="19" ref="J95:J126">ROUND(((v1_stat*Noz1_cons*LN(D95)+v1_stat*Noz1_pwr)*5940/(B95*noz_spc)),2)</f>
        <v>5.37</v>
      </c>
      <c r="K95" s="121">
        <f aca="true" t="shared" si="20" ref="K95:K126">ROUND(((v2_stat*Noz2_cons*LN(D95)+v2_stat*Noz2_pwr)*5940/(B95*noz_spc)),2)</f>
        <v>11.01</v>
      </c>
      <c r="L95" s="121">
        <f aca="true" t="shared" si="21" ref="L95:L126">ROUND(((v3_stat*Noz3_cons*LN(D95)+v3_stat*Noz3_pwr)*5940/(B95*noz_spc)),2)</f>
        <v>21.7</v>
      </c>
      <c r="M95" s="121">
        <f t="shared" si="8"/>
        <v>1</v>
      </c>
    </row>
    <row r="96" spans="1:13" s="121" customFormat="1" ht="12.75">
      <c r="A96" s="161">
        <v>66</v>
      </c>
      <c r="B96" s="161">
        <f aca="true" t="shared" si="22" ref="B96:B158">A96*20/128</f>
        <v>10.3125</v>
      </c>
      <c r="C96" s="161">
        <f t="shared" si="15"/>
        <v>89</v>
      </c>
      <c r="D96" s="218">
        <f t="shared" si="16"/>
        <v>120.87941920762944</v>
      </c>
      <c r="E96" s="161">
        <f t="shared" si="17"/>
        <v>121</v>
      </c>
      <c r="G96" s="164">
        <f t="shared" si="18"/>
        <v>100.7163359917752</v>
      </c>
      <c r="J96" s="121">
        <f t="shared" si="19"/>
        <v>5.37</v>
      </c>
      <c r="K96" s="121">
        <f t="shared" si="20"/>
        <v>11.02</v>
      </c>
      <c r="L96" s="121">
        <f t="shared" si="21"/>
        <v>21.7</v>
      </c>
      <c r="M96" s="121">
        <f aca="true" t="shared" si="23" ref="M96:M158">IF(ABS(J96-J97)&gt;0.08,0,IF(ABS(K96-K97)&gt;0.08,0,IF(ABS((L96-L97))&gt;0.08,0,1)))</f>
        <v>1</v>
      </c>
    </row>
    <row r="97" spans="1:13" s="121" customFormat="1" ht="12.75">
      <c r="A97" s="161">
        <v>67</v>
      </c>
      <c r="B97" s="161">
        <f t="shared" si="22"/>
        <v>10.46875</v>
      </c>
      <c r="C97" s="161">
        <f t="shared" si="15"/>
        <v>91</v>
      </c>
      <c r="D97" s="218">
        <f t="shared" si="16"/>
        <v>127.13965484157237</v>
      </c>
      <c r="E97" s="161">
        <f t="shared" si="17"/>
        <v>127</v>
      </c>
      <c r="G97" s="164">
        <f t="shared" si="18"/>
        <v>100.65350231993101</v>
      </c>
      <c r="J97" s="121">
        <f t="shared" si="19"/>
        <v>5.37</v>
      </c>
      <c r="K97" s="121">
        <f t="shared" si="20"/>
        <v>11.02</v>
      </c>
      <c r="L97" s="121">
        <f t="shared" si="21"/>
        <v>21.7</v>
      </c>
      <c r="M97" s="121">
        <f t="shared" si="23"/>
        <v>1</v>
      </c>
    </row>
    <row r="98" spans="1:13" s="121" customFormat="1" ht="12.75">
      <c r="A98" s="161">
        <v>68</v>
      </c>
      <c r="B98" s="161">
        <f t="shared" si="22"/>
        <v>10.625</v>
      </c>
      <c r="C98" s="161">
        <f t="shared" si="15"/>
        <v>94</v>
      </c>
      <c r="D98" s="218">
        <f t="shared" si="16"/>
        <v>133.72410240877392</v>
      </c>
      <c r="E98" s="161">
        <f t="shared" si="17"/>
        <v>134</v>
      </c>
      <c r="G98" s="164">
        <f t="shared" si="18"/>
        <v>100.74665226322465</v>
      </c>
      <c r="J98" s="121">
        <f t="shared" si="19"/>
        <v>5.36</v>
      </c>
      <c r="K98" s="121">
        <f t="shared" si="20"/>
        <v>11.02</v>
      </c>
      <c r="L98" s="121">
        <f t="shared" si="21"/>
        <v>21.7</v>
      </c>
      <c r="M98" s="121">
        <f t="shared" si="23"/>
        <v>1</v>
      </c>
    </row>
    <row r="99" spans="1:13" s="121" customFormat="1" ht="12.75">
      <c r="A99" s="161">
        <v>69</v>
      </c>
      <c r="B99" s="161">
        <f t="shared" si="22"/>
        <v>10.78125</v>
      </c>
      <c r="C99" s="161">
        <f t="shared" si="15"/>
        <v>97</v>
      </c>
      <c r="D99" s="218">
        <f t="shared" si="16"/>
        <v>140.6495525516019</v>
      </c>
      <c r="E99" s="161">
        <f t="shared" si="17"/>
        <v>141</v>
      </c>
      <c r="G99" s="164">
        <f t="shared" si="18"/>
        <v>100.75813027075016</v>
      </c>
      <c r="J99" s="121">
        <f t="shared" si="19"/>
        <v>5.36</v>
      </c>
      <c r="K99" s="121">
        <f t="shared" si="20"/>
        <v>11.02</v>
      </c>
      <c r="L99" s="121">
        <f t="shared" si="21"/>
        <v>21.7</v>
      </c>
      <c r="M99" s="121">
        <f t="shared" si="23"/>
        <v>1</v>
      </c>
    </row>
    <row r="100" spans="1:13" s="121" customFormat="1" ht="12.75">
      <c r="A100" s="161">
        <v>70</v>
      </c>
      <c r="B100" s="161">
        <f t="shared" si="22"/>
        <v>10.9375</v>
      </c>
      <c r="C100" s="161">
        <f t="shared" si="15"/>
        <v>100</v>
      </c>
      <c r="D100" s="218">
        <f t="shared" si="16"/>
        <v>147.93366548458405</v>
      </c>
      <c r="E100" s="161">
        <f t="shared" si="17"/>
        <v>148</v>
      </c>
      <c r="G100" s="164">
        <f t="shared" si="18"/>
        <v>100.69898318588146</v>
      </c>
      <c r="J100" s="121">
        <f t="shared" si="19"/>
        <v>5.36</v>
      </c>
      <c r="K100" s="121">
        <f t="shared" si="20"/>
        <v>11.03</v>
      </c>
      <c r="L100" s="121">
        <f t="shared" si="21"/>
        <v>21.7</v>
      </c>
      <c r="M100" s="121">
        <f t="shared" si="23"/>
        <v>1</v>
      </c>
    </row>
    <row r="101" spans="1:13" s="121" customFormat="1" ht="12.75">
      <c r="A101" s="161">
        <v>71</v>
      </c>
      <c r="B101" s="161">
        <f t="shared" si="22"/>
        <v>11.09375</v>
      </c>
      <c r="C101" s="161">
        <f t="shared" si="15"/>
        <v>103</v>
      </c>
      <c r="D101" s="218">
        <f t="shared" si="16"/>
        <v>155.5950160287628</v>
      </c>
      <c r="E101" s="161">
        <f t="shared" si="17"/>
        <v>156</v>
      </c>
      <c r="G101" s="164">
        <f t="shared" si="18"/>
        <v>100.75921882518081</v>
      </c>
      <c r="J101" s="121">
        <f t="shared" si="19"/>
        <v>5.36</v>
      </c>
      <c r="K101" s="121">
        <f t="shared" si="20"/>
        <v>11.03</v>
      </c>
      <c r="L101" s="121">
        <f t="shared" si="21"/>
        <v>21.7</v>
      </c>
      <c r="M101" s="121">
        <f t="shared" si="23"/>
        <v>1</v>
      </c>
    </row>
    <row r="102" spans="1:13" s="121" customFormat="1" ht="12.75">
      <c r="A102" s="161">
        <v>72</v>
      </c>
      <c r="B102" s="161">
        <f t="shared" si="22"/>
        <v>11.25</v>
      </c>
      <c r="C102" s="161">
        <f t="shared" si="15"/>
        <v>105</v>
      </c>
      <c r="D102" s="218">
        <f t="shared" si="16"/>
        <v>163.65314097833817</v>
      </c>
      <c r="E102" s="161">
        <f t="shared" si="17"/>
        <v>164</v>
      </c>
      <c r="G102" s="164">
        <f t="shared" si="18"/>
        <v>100.74485025946802</v>
      </c>
      <c r="J102" s="121">
        <f t="shared" si="19"/>
        <v>5.35</v>
      </c>
      <c r="K102" s="121">
        <f t="shared" si="20"/>
        <v>11.03</v>
      </c>
      <c r="L102" s="121">
        <f t="shared" si="21"/>
        <v>21.7</v>
      </c>
      <c r="M102" s="121">
        <f t="shared" si="23"/>
        <v>1</v>
      </c>
    </row>
    <row r="103" spans="1:13" s="121" customFormat="1" ht="12.75">
      <c r="A103" s="161">
        <v>73</v>
      </c>
      <c r="B103" s="161">
        <f t="shared" si="22"/>
        <v>11.40625</v>
      </c>
      <c r="C103" s="161">
        <f t="shared" si="15"/>
        <v>108</v>
      </c>
      <c r="D103" s="218">
        <f t="shared" si="16"/>
        <v>172.12858892038648</v>
      </c>
      <c r="E103" s="161">
        <f t="shared" si="17"/>
        <v>172</v>
      </c>
      <c r="G103" s="164">
        <f t="shared" si="18"/>
        <v>100.6657981627779</v>
      </c>
      <c r="J103" s="121">
        <f t="shared" si="19"/>
        <v>5.35</v>
      </c>
      <c r="K103" s="121">
        <f t="shared" si="20"/>
        <v>11.03</v>
      </c>
      <c r="L103" s="121">
        <f t="shared" si="21"/>
        <v>21.7</v>
      </c>
      <c r="M103" s="121">
        <f t="shared" si="23"/>
        <v>1</v>
      </c>
    </row>
    <row r="104" spans="1:13" s="121" customFormat="1" ht="12.75">
      <c r="A104" s="161">
        <v>74</v>
      </c>
      <c r="B104" s="161">
        <f t="shared" si="22"/>
        <v>11.5625</v>
      </c>
      <c r="C104" s="161">
        <f t="shared" si="15"/>
        <v>111</v>
      </c>
      <c r="D104" s="218">
        <f t="shared" si="16"/>
        <v>181.04297263469638</v>
      </c>
      <c r="E104" s="161">
        <f t="shared" si="17"/>
        <v>181</v>
      </c>
      <c r="G104" s="164">
        <f t="shared" si="18"/>
        <v>100.67981541037734</v>
      </c>
      <c r="J104" s="121">
        <f t="shared" si="19"/>
        <v>5.35</v>
      </c>
      <c r="K104" s="121">
        <f t="shared" si="20"/>
        <v>11.04</v>
      </c>
      <c r="L104" s="121">
        <f t="shared" si="21"/>
        <v>21.7</v>
      </c>
      <c r="M104" s="121">
        <f t="shared" si="23"/>
        <v>1</v>
      </c>
    </row>
    <row r="105" spans="1:13" s="121" customFormat="1" ht="12.75">
      <c r="A105" s="161">
        <v>75</v>
      </c>
      <c r="B105" s="161">
        <f t="shared" si="22"/>
        <v>11.71875</v>
      </c>
      <c r="C105" s="161">
        <f t="shared" si="15"/>
        <v>114</v>
      </c>
      <c r="D105" s="218">
        <f t="shared" si="16"/>
        <v>190.41902420734596</v>
      </c>
      <c r="E105" s="161">
        <f t="shared" si="17"/>
        <v>190</v>
      </c>
      <c r="G105" s="164">
        <f t="shared" si="18"/>
        <v>100.6276406346332</v>
      </c>
      <c r="J105" s="121">
        <f t="shared" si="19"/>
        <v>5.35</v>
      </c>
      <c r="K105" s="121">
        <f t="shared" si="20"/>
        <v>11.04</v>
      </c>
      <c r="L105" s="121">
        <f t="shared" si="21"/>
        <v>21.7</v>
      </c>
      <c r="M105" s="121">
        <f t="shared" si="23"/>
        <v>1</v>
      </c>
    </row>
    <row r="106" spans="1:13" s="121" customFormat="1" ht="12.75">
      <c r="A106" s="161">
        <v>76</v>
      </c>
      <c r="B106" s="161">
        <f t="shared" si="22"/>
        <v>11.875</v>
      </c>
      <c r="C106" s="161">
        <f t="shared" si="15"/>
        <v>118</v>
      </c>
      <c r="D106" s="218">
        <f t="shared" si="16"/>
        <v>200.28065299856226</v>
      </c>
      <c r="E106" s="161">
        <f t="shared" si="17"/>
        <v>200</v>
      </c>
      <c r="G106" s="164">
        <f t="shared" si="18"/>
        <v>100.64941947640159</v>
      </c>
      <c r="J106" s="121">
        <f t="shared" si="19"/>
        <v>5.34</v>
      </c>
      <c r="K106" s="121">
        <f t="shared" si="20"/>
        <v>11.04</v>
      </c>
      <c r="L106" s="121">
        <f t="shared" si="21"/>
        <v>21.7</v>
      </c>
      <c r="M106" s="121">
        <f t="shared" si="23"/>
        <v>1</v>
      </c>
    </row>
    <row r="107" spans="1:13" s="121" customFormat="1" ht="12.75">
      <c r="A107" s="161">
        <v>77</v>
      </c>
      <c r="B107" s="161">
        <f t="shared" si="22"/>
        <v>12.03125</v>
      </c>
      <c r="C107" s="161">
        <f t="shared" si="15"/>
        <v>121</v>
      </c>
      <c r="D107" s="218">
        <f t="shared" si="16"/>
        <v>210.65300661268205</v>
      </c>
      <c r="E107" s="161">
        <f t="shared" si="17"/>
        <v>211</v>
      </c>
      <c r="G107" s="164">
        <f t="shared" si="18"/>
        <v>100.72883569459026</v>
      </c>
      <c r="J107" s="121">
        <f t="shared" si="19"/>
        <v>5.34</v>
      </c>
      <c r="K107" s="121">
        <f t="shared" si="20"/>
        <v>11.04</v>
      </c>
      <c r="L107" s="121">
        <f t="shared" si="21"/>
        <v>21.7</v>
      </c>
      <c r="M107" s="121">
        <f t="shared" si="23"/>
        <v>1</v>
      </c>
    </row>
    <row r="108" spans="1:13" s="121" customFormat="1" ht="12.75">
      <c r="A108" s="161">
        <v>78</v>
      </c>
      <c r="B108" s="161">
        <f t="shared" si="22"/>
        <v>12.1875</v>
      </c>
      <c r="C108" s="161">
        <f t="shared" si="15"/>
        <v>124</v>
      </c>
      <c r="D108" s="218">
        <f t="shared" si="16"/>
        <v>221.56253502569325</v>
      </c>
      <c r="E108" s="161">
        <f t="shared" si="17"/>
        <v>222</v>
      </c>
      <c r="G108" s="164">
        <f t="shared" si="18"/>
        <v>100.73663969724355</v>
      </c>
      <c r="J108" s="121">
        <f t="shared" si="19"/>
        <v>5.34</v>
      </c>
      <c r="K108" s="121">
        <f t="shared" si="20"/>
        <v>11.04</v>
      </c>
      <c r="L108" s="121">
        <f t="shared" si="21"/>
        <v>21.7</v>
      </c>
      <c r="M108" s="121">
        <f t="shared" si="23"/>
        <v>1</v>
      </c>
    </row>
    <row r="109" spans="1:13" s="121" customFormat="1" ht="12.75">
      <c r="A109" s="161">
        <v>79</v>
      </c>
      <c r="B109" s="161">
        <f t="shared" si="22"/>
        <v>12.34375</v>
      </c>
      <c r="C109" s="161">
        <f t="shared" si="15"/>
        <v>127</v>
      </c>
      <c r="D109" s="218">
        <f t="shared" si="16"/>
        <v>233.0370580338831</v>
      </c>
      <c r="E109" s="161">
        <f t="shared" si="17"/>
        <v>233</v>
      </c>
      <c r="G109" s="164">
        <f t="shared" si="18"/>
        <v>100.68219807687194</v>
      </c>
      <c r="J109" s="121">
        <f t="shared" si="19"/>
        <v>5.34</v>
      </c>
      <c r="K109" s="121">
        <f t="shared" si="20"/>
        <v>11.05</v>
      </c>
      <c r="L109" s="121">
        <f t="shared" si="21"/>
        <v>21.7</v>
      </c>
      <c r="M109" s="121">
        <f t="shared" si="23"/>
        <v>1</v>
      </c>
    </row>
    <row r="110" spans="1:13" s="121" customFormat="1" ht="12.75">
      <c r="A110" s="161">
        <v>80</v>
      </c>
      <c r="B110" s="161">
        <f t="shared" si="22"/>
        <v>12.5</v>
      </c>
      <c r="C110" s="161">
        <f t="shared" si="15"/>
        <v>130</v>
      </c>
      <c r="D110" s="218">
        <f t="shared" si="16"/>
        <v>245.1058361955907</v>
      </c>
      <c r="E110" s="161">
        <f t="shared" si="17"/>
        <v>245</v>
      </c>
      <c r="G110" s="164">
        <f t="shared" si="18"/>
        <v>100.67544704120506</v>
      </c>
      <c r="J110" s="121">
        <f t="shared" si="19"/>
        <v>5.34</v>
      </c>
      <c r="K110" s="121">
        <f t="shared" si="20"/>
        <v>11.05</v>
      </c>
      <c r="L110" s="121">
        <f t="shared" si="21"/>
        <v>21.7</v>
      </c>
      <c r="M110" s="121">
        <f t="shared" si="23"/>
        <v>1</v>
      </c>
    </row>
    <row r="111" spans="1:13" s="121" customFormat="1" ht="12.75">
      <c r="A111" s="161">
        <v>81</v>
      </c>
      <c r="B111" s="161">
        <f t="shared" si="22"/>
        <v>12.65625</v>
      </c>
      <c r="C111" s="161">
        <f t="shared" si="15"/>
        <v>133</v>
      </c>
      <c r="D111" s="218">
        <f t="shared" si="16"/>
        <v>257.799645446969</v>
      </c>
      <c r="E111" s="161">
        <f t="shared" si="17"/>
        <v>258</v>
      </c>
      <c r="G111" s="164">
        <f t="shared" si="18"/>
        <v>100.70533752168002</v>
      </c>
      <c r="J111" s="121">
        <f t="shared" si="19"/>
        <v>5.33</v>
      </c>
      <c r="K111" s="121">
        <f t="shared" si="20"/>
        <v>11.05</v>
      </c>
      <c r="L111" s="121">
        <f t="shared" si="21"/>
        <v>21.7</v>
      </c>
      <c r="M111" s="121">
        <f t="shared" si="23"/>
        <v>1</v>
      </c>
    </row>
    <row r="112" spans="1:13" s="121" customFormat="1" ht="12.75">
      <c r="A112" s="161">
        <v>82</v>
      </c>
      <c r="B112" s="161">
        <f t="shared" si="22"/>
        <v>12.8125</v>
      </c>
      <c r="C112" s="161">
        <f t="shared" si="15"/>
        <v>137</v>
      </c>
      <c r="D112" s="218">
        <f t="shared" si="16"/>
        <v>271.15085558202816</v>
      </c>
      <c r="E112" s="161">
        <f t="shared" si="17"/>
        <v>271</v>
      </c>
      <c r="G112" s="164">
        <f t="shared" si="18"/>
        <v>100.672679180328</v>
      </c>
      <c r="J112" s="121">
        <f t="shared" si="19"/>
        <v>5.33</v>
      </c>
      <c r="K112" s="121">
        <f t="shared" si="20"/>
        <v>11.05</v>
      </c>
      <c r="L112" s="121">
        <f t="shared" si="21"/>
        <v>21.7</v>
      </c>
      <c r="M112" s="121">
        <f t="shared" si="23"/>
        <v>1</v>
      </c>
    </row>
    <row r="113" spans="1:13" s="121" customFormat="1" ht="12.75">
      <c r="A113" s="161">
        <v>83</v>
      </c>
      <c r="B113" s="161">
        <f t="shared" si="22"/>
        <v>12.96875</v>
      </c>
      <c r="C113" s="161">
        <f t="shared" si="15"/>
        <v>140</v>
      </c>
      <c r="D113" s="218">
        <f t="shared" si="16"/>
        <v>285.1935127970918</v>
      </c>
      <c r="E113" s="161">
        <f t="shared" si="17"/>
        <v>285</v>
      </c>
      <c r="G113" s="164">
        <f t="shared" si="18"/>
        <v>100.66990507193717</v>
      </c>
      <c r="J113" s="121">
        <f t="shared" si="19"/>
        <v>5.33</v>
      </c>
      <c r="K113" s="121">
        <f t="shared" si="20"/>
        <v>11.05</v>
      </c>
      <c r="L113" s="121">
        <f t="shared" si="21"/>
        <v>21.7</v>
      </c>
      <c r="M113" s="121">
        <f t="shared" si="23"/>
        <v>1</v>
      </c>
    </row>
    <row r="114" spans="1:13" s="121" customFormat="1" ht="12.75">
      <c r="A114" s="161">
        <v>84</v>
      </c>
      <c r="B114" s="161">
        <f t="shared" si="22"/>
        <v>13.125</v>
      </c>
      <c r="C114" s="161">
        <f t="shared" si="15"/>
        <v>144</v>
      </c>
      <c r="D114" s="218">
        <f t="shared" si="16"/>
        <v>299.96342651015385</v>
      </c>
      <c r="E114" s="161">
        <f t="shared" si="17"/>
        <v>300</v>
      </c>
      <c r="G114" s="164">
        <f t="shared" si="18"/>
        <v>100.68910659023591</v>
      </c>
      <c r="J114" s="121">
        <f t="shared" si="19"/>
        <v>5.33</v>
      </c>
      <c r="K114" s="121">
        <f t="shared" si="20"/>
        <v>11.06</v>
      </c>
      <c r="L114" s="121">
        <f t="shared" si="21"/>
        <v>21.7</v>
      </c>
      <c r="M114" s="121">
        <f t="shared" si="23"/>
        <v>1</v>
      </c>
    </row>
    <row r="115" spans="1:13" s="121" customFormat="1" ht="12.75">
      <c r="A115" s="161">
        <v>85</v>
      </c>
      <c r="B115" s="161">
        <f t="shared" si="22"/>
        <v>13.28125</v>
      </c>
      <c r="C115" s="161">
        <f t="shared" si="15"/>
        <v>147</v>
      </c>
      <c r="D115" s="218">
        <f t="shared" si="16"/>
        <v>315.4982606765305</v>
      </c>
      <c r="E115" s="161">
        <f t="shared" si="17"/>
        <v>315</v>
      </c>
      <c r="G115" s="164">
        <f t="shared" si="18"/>
        <v>100.64913351949252</v>
      </c>
      <c r="J115" s="121">
        <f t="shared" si="19"/>
        <v>5.33</v>
      </c>
      <c r="K115" s="121">
        <f t="shared" si="20"/>
        <v>11.06</v>
      </c>
      <c r="L115" s="121">
        <f t="shared" si="21"/>
        <v>21.7</v>
      </c>
      <c r="M115" s="121">
        <f t="shared" si="23"/>
        <v>1</v>
      </c>
    </row>
    <row r="116" spans="1:13" s="121" customFormat="1" ht="12.75">
      <c r="A116" s="161">
        <v>86</v>
      </c>
      <c r="B116" s="161">
        <f t="shared" si="22"/>
        <v>13.4375</v>
      </c>
      <c r="C116" s="161">
        <f t="shared" si="15"/>
        <v>150</v>
      </c>
      <c r="D116" s="218">
        <f t="shared" si="16"/>
        <v>331.83762983367154</v>
      </c>
      <c r="E116" s="161">
        <f t="shared" si="17"/>
        <v>332</v>
      </c>
      <c r="G116" s="164">
        <f t="shared" si="18"/>
        <v>100.69755509314469</v>
      </c>
      <c r="J116" s="121">
        <f t="shared" si="19"/>
        <v>5.32</v>
      </c>
      <c r="K116" s="121">
        <f t="shared" si="20"/>
        <v>11.06</v>
      </c>
      <c r="L116" s="121">
        <f t="shared" si="21"/>
        <v>21.7</v>
      </c>
      <c r="M116" s="121">
        <f t="shared" si="23"/>
        <v>1</v>
      </c>
    </row>
    <row r="117" spans="1:13" s="121" customFormat="1" ht="12.75">
      <c r="A117" s="161">
        <v>87</v>
      </c>
      <c r="B117" s="161">
        <f t="shared" si="22"/>
        <v>13.59375</v>
      </c>
      <c r="C117" s="161">
        <f t="shared" si="15"/>
        <v>154</v>
      </c>
      <c r="D117" s="218">
        <f t="shared" si="16"/>
        <v>349.023200120038</v>
      </c>
      <c r="E117" s="161">
        <f t="shared" si="17"/>
        <v>349</v>
      </c>
      <c r="G117" s="164">
        <f t="shared" si="18"/>
        <v>100.68468874248556</v>
      </c>
      <c r="J117" s="121">
        <f t="shared" si="19"/>
        <v>5.32</v>
      </c>
      <c r="K117" s="121">
        <f t="shared" si="20"/>
        <v>11.06</v>
      </c>
      <c r="L117" s="121">
        <f t="shared" si="21"/>
        <v>21.7</v>
      </c>
      <c r="M117" s="121">
        <f t="shared" si="23"/>
        <v>1</v>
      </c>
    </row>
    <row r="118" spans="1:13" s="121" customFormat="1" ht="12.75">
      <c r="A118" s="161">
        <v>88</v>
      </c>
      <c r="B118" s="161">
        <f t="shared" si="22"/>
        <v>13.75</v>
      </c>
      <c r="C118" s="161">
        <f t="shared" si="15"/>
        <v>158</v>
      </c>
      <c r="D118" s="218">
        <f t="shared" si="16"/>
        <v>367.098795525665</v>
      </c>
      <c r="E118" s="161">
        <f t="shared" si="17"/>
        <v>367</v>
      </c>
      <c r="G118" s="164">
        <f t="shared" si="18"/>
        <v>100.68011315942792</v>
      </c>
      <c r="J118" s="121">
        <f t="shared" si="19"/>
        <v>5.32</v>
      </c>
      <c r="K118" s="121">
        <f t="shared" si="20"/>
        <v>11.06</v>
      </c>
      <c r="L118" s="121">
        <f t="shared" si="21"/>
        <v>21.7</v>
      </c>
      <c r="M118" s="121">
        <f t="shared" si="23"/>
        <v>1</v>
      </c>
    </row>
    <row r="119" spans="1:13" s="121" customFormat="1" ht="12.75">
      <c r="A119" s="161">
        <v>89</v>
      </c>
      <c r="B119" s="161">
        <f t="shared" si="22"/>
        <v>13.90625</v>
      </c>
      <c r="C119" s="161">
        <f t="shared" si="15"/>
        <v>161</v>
      </c>
      <c r="D119" s="218">
        <f t="shared" si="16"/>
        <v>386.11050964533547</v>
      </c>
      <c r="E119" s="161">
        <f t="shared" si="17"/>
        <v>386</v>
      </c>
      <c r="G119" s="164">
        <f t="shared" si="18"/>
        <v>100.6797987358681</v>
      </c>
      <c r="J119" s="121">
        <f t="shared" si="19"/>
        <v>5.32</v>
      </c>
      <c r="K119" s="121">
        <f t="shared" si="20"/>
        <v>11.06</v>
      </c>
      <c r="L119" s="121">
        <f t="shared" si="21"/>
        <v>21.7</v>
      </c>
      <c r="M119" s="121">
        <f t="shared" si="23"/>
        <v>1</v>
      </c>
    </row>
    <row r="120" spans="1:13" s="121" customFormat="1" ht="12.75">
      <c r="A120" s="161">
        <v>90</v>
      </c>
      <c r="B120" s="161">
        <f t="shared" si="22"/>
        <v>14.0625</v>
      </c>
      <c r="C120" s="161">
        <f t="shared" si="15"/>
        <v>165</v>
      </c>
      <c r="D120" s="218">
        <f t="shared" si="16"/>
        <v>406.1068232193593</v>
      </c>
      <c r="E120" s="161">
        <f t="shared" si="17"/>
        <v>406</v>
      </c>
      <c r="G120" s="164">
        <f t="shared" si="18"/>
        <v>100.68038351043205</v>
      </c>
      <c r="J120" s="121">
        <f t="shared" si="19"/>
        <v>5.32</v>
      </c>
      <c r="K120" s="121">
        <f t="shared" si="20"/>
        <v>11.07</v>
      </c>
      <c r="L120" s="121">
        <f t="shared" si="21"/>
        <v>21.7</v>
      </c>
      <c r="M120" s="121">
        <f t="shared" si="23"/>
        <v>1</v>
      </c>
    </row>
    <row r="121" spans="1:13" s="121" customFormat="1" ht="12.75">
      <c r="A121" s="161">
        <v>91</v>
      </c>
      <c r="B121" s="161">
        <f t="shared" si="22"/>
        <v>14.21875</v>
      </c>
      <c r="C121" s="161">
        <f t="shared" si="15"/>
        <v>168</v>
      </c>
      <c r="D121" s="218">
        <f t="shared" si="16"/>
        <v>427.138727761673</v>
      </c>
      <c r="E121" s="161">
        <f t="shared" si="17"/>
        <v>427</v>
      </c>
      <c r="G121" s="164">
        <f t="shared" si="18"/>
        <v>100.67909422368129</v>
      </c>
      <c r="J121" s="121">
        <f t="shared" si="19"/>
        <v>5.32</v>
      </c>
      <c r="K121" s="121">
        <f t="shared" si="20"/>
        <v>11.07</v>
      </c>
      <c r="L121" s="121">
        <f t="shared" si="21"/>
        <v>21.7</v>
      </c>
      <c r="M121" s="121">
        <f t="shared" si="23"/>
        <v>1</v>
      </c>
    </row>
    <row r="122" spans="1:13" s="121" customFormat="1" ht="12.75">
      <c r="A122" s="161">
        <v>92</v>
      </c>
      <c r="B122" s="161">
        <f t="shared" si="22"/>
        <v>14.375</v>
      </c>
      <c r="C122" s="161">
        <f t="shared" si="15"/>
        <v>172</v>
      </c>
      <c r="D122" s="218">
        <f t="shared" si="16"/>
        <v>449.25985559053544</v>
      </c>
      <c r="E122" s="161">
        <f t="shared" si="17"/>
        <v>449</v>
      </c>
      <c r="G122" s="164">
        <f t="shared" si="18"/>
        <v>100.67367186342061</v>
      </c>
      <c r="J122" s="121">
        <f t="shared" si="19"/>
        <v>5.31</v>
      </c>
      <c r="K122" s="121">
        <f t="shared" si="20"/>
        <v>11.07</v>
      </c>
      <c r="L122" s="121">
        <f t="shared" si="21"/>
        <v>21.7</v>
      </c>
      <c r="M122" s="121">
        <f t="shared" si="23"/>
        <v>1</v>
      </c>
    </row>
    <row r="123" spans="1:13" s="121" customFormat="1" ht="12.75">
      <c r="A123" s="161">
        <v>93</v>
      </c>
      <c r="B123" s="161">
        <f t="shared" si="22"/>
        <v>14.53125</v>
      </c>
      <c r="C123" s="161">
        <f t="shared" si="15"/>
        <v>176</v>
      </c>
      <c r="D123" s="218">
        <f t="shared" si="16"/>
        <v>472.52661659339196</v>
      </c>
      <c r="E123" s="161">
        <f t="shared" si="17"/>
        <v>473</v>
      </c>
      <c r="G123" s="164">
        <f t="shared" si="18"/>
        <v>100.70768217579864</v>
      </c>
      <c r="J123" s="121">
        <f t="shared" si="19"/>
        <v>5.31</v>
      </c>
      <c r="K123" s="121">
        <f t="shared" si="20"/>
        <v>11.07</v>
      </c>
      <c r="L123" s="121">
        <f t="shared" si="21"/>
        <v>21.7</v>
      </c>
      <c r="M123" s="121">
        <f t="shared" si="23"/>
        <v>1</v>
      </c>
    </row>
    <row r="124" spans="1:13" s="121" customFormat="1" ht="12.75">
      <c r="A124" s="161">
        <v>94</v>
      </c>
      <c r="B124" s="161">
        <f t="shared" si="22"/>
        <v>14.6875</v>
      </c>
      <c r="C124" s="161">
        <f t="shared" si="15"/>
        <v>180</v>
      </c>
      <c r="D124" s="218">
        <f t="shared" si="16"/>
        <v>496.9983420746617</v>
      </c>
      <c r="E124" s="161">
        <f t="shared" si="17"/>
        <v>497</v>
      </c>
      <c r="G124" s="164">
        <f t="shared" si="18"/>
        <v>100.68628311641031</v>
      </c>
      <c r="J124" s="121">
        <f t="shared" si="19"/>
        <v>5.31</v>
      </c>
      <c r="K124" s="121">
        <f t="shared" si="20"/>
        <v>11.07</v>
      </c>
      <c r="L124" s="121">
        <f t="shared" si="21"/>
        <v>21.7</v>
      </c>
      <c r="M124" s="121">
        <f t="shared" si="23"/>
        <v>1</v>
      </c>
    </row>
    <row r="125" spans="1:13" s="121" customFormat="1" ht="12.75">
      <c r="A125" s="161">
        <v>95</v>
      </c>
      <c r="B125" s="161">
        <f t="shared" si="22"/>
        <v>14.84375</v>
      </c>
      <c r="C125" s="161">
        <f t="shared" si="15"/>
        <v>184</v>
      </c>
      <c r="D125" s="218">
        <f t="shared" si="16"/>
        <v>522.7374360532831</v>
      </c>
      <c r="E125" s="161">
        <f t="shared" si="17"/>
        <v>523</v>
      </c>
      <c r="G125" s="164">
        <f t="shared" si="18"/>
        <v>100.69675284516606</v>
      </c>
      <c r="J125" s="121">
        <f t="shared" si="19"/>
        <v>5.31</v>
      </c>
      <c r="K125" s="121">
        <f t="shared" si="20"/>
        <v>11.07</v>
      </c>
      <c r="L125" s="121">
        <f t="shared" si="21"/>
        <v>21.7</v>
      </c>
      <c r="M125" s="121">
        <f t="shared" si="23"/>
        <v>1</v>
      </c>
    </row>
    <row r="126" spans="1:13" s="121" customFormat="1" ht="12.75">
      <c r="A126" s="161">
        <v>96</v>
      </c>
      <c r="B126" s="161">
        <f t="shared" si="22"/>
        <v>15</v>
      </c>
      <c r="C126" s="161">
        <f aca="true" t="shared" si="24" ref="C126:C157">INT(((B126*SQRT(des_pres))/(des_spd))^2+0.5)</f>
        <v>188</v>
      </c>
      <c r="D126" s="218">
        <f aca="true" t="shared" si="25" ref="D126:D158">EXP((((max_rate*B126*noz_spc*conv_ftr)/(5940*dens*n_src))-(Noz1_pwr*v1_stat+Noz2_pwr*v2_stat+Noz3_pwr*v3_stat))/(Noz1_cons*v1_stat+Noz2_cons*v2_stat+Noz3_cons*v3_stat))</f>
        <v>549.8095343958121</v>
      </c>
      <c r="E126" s="161">
        <f t="shared" si="17"/>
        <v>550</v>
      </c>
      <c r="G126" s="164">
        <f t="shared" si="18"/>
        <v>100.69340684034384</v>
      </c>
      <c r="J126" s="121">
        <f t="shared" si="19"/>
        <v>5.31</v>
      </c>
      <c r="K126" s="121">
        <f t="shared" si="20"/>
        <v>11.07</v>
      </c>
      <c r="L126" s="121">
        <f t="shared" si="21"/>
        <v>21.7</v>
      </c>
      <c r="M126" s="121">
        <f t="shared" si="23"/>
        <v>1</v>
      </c>
    </row>
    <row r="127" spans="1:13" s="121" customFormat="1" ht="12.75">
      <c r="A127" s="161">
        <v>97</v>
      </c>
      <c r="B127" s="161">
        <f t="shared" si="22"/>
        <v>15.15625</v>
      </c>
      <c r="C127" s="161">
        <f t="shared" si="24"/>
        <v>191</v>
      </c>
      <c r="D127" s="218">
        <f t="shared" si="25"/>
        <v>578.2836721908833</v>
      </c>
      <c r="E127" s="161">
        <f t="shared" si="17"/>
        <v>578</v>
      </c>
      <c r="G127" s="164">
        <f aca="true" t="shared" si="26" ref="G127:G158">(LN(E127)*((Noz1_cons*v1_stat+Noz2_cons*v2_stat+Noz3_cons*v3_stat)/conv_ftr)+((Noz1_pwr*v1_stat+Noz2_pwr*v2_stat+Noz3_pwr*v3_stat)/conv_ftr))*n_src*dens*5940/(noz_spc*B127)</f>
        <v>100.67612556489127</v>
      </c>
      <c r="J127" s="121">
        <f aca="true" t="shared" si="27" ref="J127:J158">ROUND(((v1_stat*Noz1_cons*LN(D127)+v1_stat*Noz1_pwr)*5940/(B127*noz_spc)),2)</f>
        <v>5.31</v>
      </c>
      <c r="K127" s="121">
        <f aca="true" t="shared" si="28" ref="K127:K158">ROUND(((v2_stat*Noz2_cons*LN(D127)+v2_stat*Noz2_pwr)*5940/(B127*noz_spc)),2)</f>
        <v>11.08</v>
      </c>
      <c r="L127" s="121">
        <f aca="true" t="shared" si="29" ref="L127:L158">ROUND(((v3_stat*Noz3_cons*LN(D127)+v3_stat*Noz3_pwr)*5940/(B127*noz_spc)),2)</f>
        <v>21.7</v>
      </c>
      <c r="M127" s="121">
        <f t="shared" si="23"/>
        <v>1</v>
      </c>
    </row>
    <row r="128" spans="1:13" s="121" customFormat="1" ht="12.75">
      <c r="A128" s="161">
        <v>98</v>
      </c>
      <c r="B128" s="161">
        <f t="shared" si="22"/>
        <v>15.3125</v>
      </c>
      <c r="C128" s="161">
        <f t="shared" si="24"/>
        <v>195</v>
      </c>
      <c r="D128" s="218">
        <f t="shared" si="25"/>
        <v>608.232459791843</v>
      </c>
      <c r="E128" s="161">
        <f t="shared" si="17"/>
        <v>608</v>
      </c>
      <c r="G128" s="164">
        <f t="shared" si="26"/>
        <v>100.67843418232492</v>
      </c>
      <c r="J128" s="121">
        <f t="shared" si="27"/>
        <v>5.31</v>
      </c>
      <c r="K128" s="121">
        <f t="shared" si="28"/>
        <v>11.08</v>
      </c>
      <c r="L128" s="121">
        <f t="shared" si="29"/>
        <v>21.7</v>
      </c>
      <c r="M128" s="121">
        <f t="shared" si="23"/>
        <v>1</v>
      </c>
    </row>
    <row r="129" spans="1:13" s="121" customFormat="1" ht="12.75">
      <c r="A129" s="161">
        <v>99</v>
      </c>
      <c r="B129" s="161">
        <f t="shared" si="22"/>
        <v>15.46875</v>
      </c>
      <c r="C129" s="161">
        <f t="shared" si="24"/>
        <v>199</v>
      </c>
      <c r="D129" s="218">
        <f t="shared" si="25"/>
        <v>639.7322679764723</v>
      </c>
      <c r="E129" s="161">
        <f t="shared" si="17"/>
        <v>640</v>
      </c>
      <c r="G129" s="164">
        <f t="shared" si="26"/>
        <v>100.69464022703913</v>
      </c>
      <c r="J129" s="121">
        <f t="shared" si="27"/>
        <v>5.3</v>
      </c>
      <c r="K129" s="121">
        <f t="shared" si="28"/>
        <v>11.08</v>
      </c>
      <c r="L129" s="121">
        <f t="shared" si="29"/>
        <v>21.7</v>
      </c>
      <c r="M129" s="121">
        <f t="shared" si="23"/>
        <v>1</v>
      </c>
    </row>
    <row r="130" spans="1:13" s="121" customFormat="1" ht="12.75">
      <c r="A130" s="161">
        <v>100</v>
      </c>
      <c r="B130" s="161">
        <f t="shared" si="22"/>
        <v>15.625</v>
      </c>
      <c r="C130" s="161">
        <f t="shared" si="24"/>
        <v>203</v>
      </c>
      <c r="D130" s="218">
        <f t="shared" si="25"/>
        <v>672.8634226959571</v>
      </c>
      <c r="E130" s="161">
        <f t="shared" si="17"/>
        <v>673</v>
      </c>
      <c r="G130" s="164">
        <f t="shared" si="26"/>
        <v>100.69025950426449</v>
      </c>
      <c r="J130" s="121">
        <f t="shared" si="27"/>
        <v>5.3</v>
      </c>
      <c r="K130" s="121">
        <f t="shared" si="28"/>
        <v>11.08</v>
      </c>
      <c r="L130" s="121">
        <f t="shared" si="29"/>
        <v>21.7</v>
      </c>
      <c r="M130" s="121">
        <f t="shared" si="23"/>
        <v>1</v>
      </c>
    </row>
    <row r="131" spans="1:13" s="121" customFormat="1" ht="12.75">
      <c r="A131" s="161">
        <v>101</v>
      </c>
      <c r="B131" s="161">
        <f t="shared" si="22"/>
        <v>15.78125</v>
      </c>
      <c r="C131" s="161">
        <f t="shared" si="24"/>
        <v>208</v>
      </c>
      <c r="D131" s="218">
        <f t="shared" si="25"/>
        <v>707.7104099097421</v>
      </c>
      <c r="E131" s="161">
        <f t="shared" si="17"/>
        <v>708</v>
      </c>
      <c r="G131" s="164">
        <f t="shared" si="26"/>
        <v>100.69428953599466</v>
      </c>
      <c r="J131" s="121">
        <f t="shared" si="27"/>
        <v>5.3</v>
      </c>
      <c r="K131" s="121">
        <f t="shared" si="28"/>
        <v>11.08</v>
      </c>
      <c r="L131" s="121">
        <f t="shared" si="29"/>
        <v>21.7</v>
      </c>
      <c r="M131" s="121">
        <f t="shared" si="23"/>
        <v>1</v>
      </c>
    </row>
    <row r="132" spans="1:13" s="121" customFormat="1" ht="12.75">
      <c r="A132" s="161">
        <v>102</v>
      </c>
      <c r="B132" s="161">
        <f t="shared" si="22"/>
        <v>15.9375</v>
      </c>
      <c r="C132" s="161">
        <f t="shared" si="24"/>
        <v>212</v>
      </c>
      <c r="D132" s="218">
        <f t="shared" si="25"/>
        <v>744.3620910285886</v>
      </c>
      <c r="E132" s="161">
        <f t="shared" si="17"/>
        <v>744</v>
      </c>
      <c r="G132" s="164">
        <f t="shared" si="26"/>
        <v>100.67670014668637</v>
      </c>
      <c r="J132" s="121">
        <f t="shared" si="27"/>
        <v>5.3</v>
      </c>
      <c r="K132" s="121">
        <f t="shared" si="28"/>
        <v>11.08</v>
      </c>
      <c r="L132" s="121">
        <f t="shared" si="29"/>
        <v>21.7</v>
      </c>
      <c r="M132" s="121">
        <f t="shared" si="23"/>
        <v>1</v>
      </c>
    </row>
    <row r="133" spans="1:13" s="121" customFormat="1" ht="12.75">
      <c r="A133" s="161">
        <v>103</v>
      </c>
      <c r="B133" s="161">
        <f t="shared" si="22"/>
        <v>16.09375</v>
      </c>
      <c r="C133" s="161">
        <f t="shared" si="24"/>
        <v>216</v>
      </c>
      <c r="D133" s="218">
        <f t="shared" si="25"/>
        <v>782.9119295152317</v>
      </c>
      <c r="E133" s="161">
        <f t="shared" si="17"/>
        <v>783</v>
      </c>
      <c r="G133" s="164">
        <f t="shared" si="26"/>
        <v>100.6883900502198</v>
      </c>
      <c r="J133" s="121">
        <f t="shared" si="27"/>
        <v>5.3</v>
      </c>
      <c r="K133" s="121">
        <f t="shared" si="28"/>
        <v>11.08</v>
      </c>
      <c r="L133" s="121">
        <f t="shared" si="29"/>
        <v>21.7</v>
      </c>
      <c r="M133" s="121">
        <f t="shared" si="23"/>
        <v>1</v>
      </c>
    </row>
    <row r="134" spans="1:13" s="121" customFormat="1" ht="12.75">
      <c r="A134" s="161">
        <v>104</v>
      </c>
      <c r="B134" s="161">
        <f t="shared" si="22"/>
        <v>16.25</v>
      </c>
      <c r="C134" s="161">
        <f t="shared" si="24"/>
        <v>220</v>
      </c>
      <c r="D134" s="218">
        <f t="shared" si="25"/>
        <v>823.4582292204921</v>
      </c>
      <c r="E134" s="161">
        <f t="shared" si="17"/>
        <v>823</v>
      </c>
      <c r="G134" s="164">
        <f t="shared" si="26"/>
        <v>100.67553973457386</v>
      </c>
      <c r="J134" s="121">
        <f t="shared" si="27"/>
        <v>5.3</v>
      </c>
      <c r="K134" s="121">
        <f t="shared" si="28"/>
        <v>11.08</v>
      </c>
      <c r="L134" s="121">
        <f t="shared" si="29"/>
        <v>21.7</v>
      </c>
      <c r="M134" s="121">
        <f t="shared" si="23"/>
        <v>1</v>
      </c>
    </row>
    <row r="135" spans="1:13" s="121" customFormat="1" ht="12.75">
      <c r="A135" s="161">
        <v>105</v>
      </c>
      <c r="B135" s="161">
        <f t="shared" si="22"/>
        <v>16.40625</v>
      </c>
      <c r="C135" s="161">
        <f t="shared" si="24"/>
        <v>224</v>
      </c>
      <c r="D135" s="218">
        <f t="shared" si="25"/>
        <v>866.1043850625794</v>
      </c>
      <c r="E135" s="161">
        <f t="shared" si="17"/>
        <v>866</v>
      </c>
      <c r="G135" s="164">
        <f t="shared" si="26"/>
        <v>100.68392334345</v>
      </c>
      <c r="J135" s="121">
        <f t="shared" si="27"/>
        <v>5.3</v>
      </c>
      <c r="K135" s="121">
        <f t="shared" si="28"/>
        <v>11.09</v>
      </c>
      <c r="L135" s="121">
        <f t="shared" si="29"/>
        <v>21.7</v>
      </c>
      <c r="M135" s="121">
        <f t="shared" si="23"/>
        <v>1</v>
      </c>
    </row>
    <row r="136" spans="1:13" s="121" customFormat="1" ht="12.75">
      <c r="A136" s="161">
        <v>106</v>
      </c>
      <c r="B136" s="161">
        <f t="shared" si="22"/>
        <v>16.5625</v>
      </c>
      <c r="C136" s="161">
        <f t="shared" si="24"/>
        <v>229</v>
      </c>
      <c r="D136" s="218">
        <f t="shared" si="25"/>
        <v>910.9591466888725</v>
      </c>
      <c r="E136" s="161">
        <f t="shared" si="17"/>
        <v>911</v>
      </c>
      <c r="G136" s="164">
        <f t="shared" si="26"/>
        <v>100.68705598620558</v>
      </c>
      <c r="J136" s="121">
        <f t="shared" si="27"/>
        <v>5.3</v>
      </c>
      <c r="K136" s="121">
        <f t="shared" si="28"/>
        <v>11.09</v>
      </c>
      <c r="L136" s="121">
        <f t="shared" si="29"/>
        <v>21.7</v>
      </c>
      <c r="M136" s="121">
        <f t="shared" si="23"/>
        <v>1</v>
      </c>
    </row>
    <row r="137" spans="1:13" s="121" customFormat="1" ht="12.75">
      <c r="A137" s="161">
        <v>107</v>
      </c>
      <c r="B137" s="161">
        <f t="shared" si="22"/>
        <v>16.71875</v>
      </c>
      <c r="C137" s="161">
        <f t="shared" si="24"/>
        <v>233</v>
      </c>
      <c r="D137" s="218">
        <f t="shared" si="25"/>
        <v>958.1368957924847</v>
      </c>
      <c r="E137" s="161">
        <f t="shared" si="17"/>
        <v>958</v>
      </c>
      <c r="G137" s="164">
        <f t="shared" si="26"/>
        <v>100.68354946847516</v>
      </c>
      <c r="J137" s="121">
        <f t="shared" si="27"/>
        <v>5.29</v>
      </c>
      <c r="K137" s="121">
        <f t="shared" si="28"/>
        <v>11.09</v>
      </c>
      <c r="L137" s="121">
        <f t="shared" si="29"/>
        <v>21.7</v>
      </c>
      <c r="M137" s="121">
        <f t="shared" si="23"/>
        <v>1</v>
      </c>
    </row>
    <row r="138" spans="1:13" s="121" customFormat="1" ht="12.75">
      <c r="A138" s="161">
        <v>108</v>
      </c>
      <c r="B138" s="161">
        <f t="shared" si="22"/>
        <v>16.875</v>
      </c>
      <c r="C138" s="161">
        <f t="shared" si="24"/>
        <v>237</v>
      </c>
      <c r="D138" s="218">
        <f t="shared" si="25"/>
        <v>1007.757937790816</v>
      </c>
      <c r="E138" s="161">
        <f t="shared" si="17"/>
        <v>1008</v>
      </c>
      <c r="G138" s="164">
        <f t="shared" si="26"/>
        <v>100.69064677247422</v>
      </c>
      <c r="J138" s="121">
        <f t="shared" si="27"/>
        <v>5.29</v>
      </c>
      <c r="K138" s="121">
        <f t="shared" si="28"/>
        <v>11.09</v>
      </c>
      <c r="L138" s="121">
        <f t="shared" si="29"/>
        <v>21.7</v>
      </c>
      <c r="M138" s="121">
        <f t="shared" si="23"/>
        <v>1</v>
      </c>
    </row>
    <row r="139" spans="1:13" s="121" customFormat="1" ht="12.75">
      <c r="A139" s="161">
        <v>109</v>
      </c>
      <c r="B139" s="161">
        <f t="shared" si="22"/>
        <v>17.03125</v>
      </c>
      <c r="C139" s="161">
        <f t="shared" si="24"/>
        <v>242</v>
      </c>
      <c r="D139" s="218">
        <f t="shared" si="25"/>
        <v>1059.9488086098645</v>
      </c>
      <c r="E139" s="161">
        <f t="shared" si="17"/>
        <v>1060</v>
      </c>
      <c r="G139" s="164">
        <f t="shared" si="26"/>
        <v>100.68709587224004</v>
      </c>
      <c r="J139" s="121">
        <f t="shared" si="27"/>
        <v>5.29</v>
      </c>
      <c r="K139" s="121">
        <f t="shared" si="28"/>
        <v>11.09</v>
      </c>
      <c r="L139" s="121">
        <f t="shared" si="29"/>
        <v>21.7</v>
      </c>
      <c r="M139" s="121">
        <f t="shared" si="23"/>
        <v>1</v>
      </c>
    </row>
    <row r="140" spans="1:13" s="121" customFormat="1" ht="12.75">
      <c r="A140" s="161">
        <v>110</v>
      </c>
      <c r="B140" s="161">
        <f t="shared" si="22"/>
        <v>17.1875</v>
      </c>
      <c r="C140" s="161">
        <f t="shared" si="24"/>
        <v>246</v>
      </c>
      <c r="D140" s="218">
        <f t="shared" si="25"/>
        <v>1114.842597356625</v>
      </c>
      <c r="E140" s="161">
        <f t="shared" si="17"/>
        <v>1115</v>
      </c>
      <c r="G140" s="164">
        <f t="shared" si="26"/>
        <v>100.68877162749192</v>
      </c>
      <c r="J140" s="121">
        <f t="shared" si="27"/>
        <v>5.29</v>
      </c>
      <c r="K140" s="121">
        <f t="shared" si="28"/>
        <v>11.09</v>
      </c>
      <c r="L140" s="121">
        <f t="shared" si="29"/>
        <v>21.7</v>
      </c>
      <c r="M140" s="121">
        <f t="shared" si="23"/>
        <v>1</v>
      </c>
    </row>
    <row r="141" spans="1:13" s="121" customFormat="1" ht="12.75">
      <c r="A141" s="161">
        <v>111</v>
      </c>
      <c r="B141" s="161">
        <f t="shared" si="22"/>
        <v>17.34375</v>
      </c>
      <c r="C141" s="161">
        <f t="shared" si="24"/>
        <v>251</v>
      </c>
      <c r="D141" s="218">
        <f t="shared" si="25"/>
        <v>1172.5792857024028</v>
      </c>
      <c r="E141" s="161">
        <f t="shared" si="17"/>
        <v>1173</v>
      </c>
      <c r="G141" s="164">
        <f t="shared" si="26"/>
        <v>100.69265680756085</v>
      </c>
      <c r="J141" s="121">
        <f t="shared" si="27"/>
        <v>5.29</v>
      </c>
      <c r="K141" s="121">
        <f t="shared" si="28"/>
        <v>11.09</v>
      </c>
      <c r="L141" s="121">
        <f t="shared" si="29"/>
        <v>21.7</v>
      </c>
      <c r="M141" s="121">
        <f t="shared" si="23"/>
        <v>1</v>
      </c>
    </row>
    <row r="142" spans="1:13" s="121" customFormat="1" ht="12.75">
      <c r="A142" s="161">
        <v>112</v>
      </c>
      <c r="B142" s="161">
        <f t="shared" si="22"/>
        <v>17.5</v>
      </c>
      <c r="C142" s="161">
        <f t="shared" si="24"/>
        <v>255</v>
      </c>
      <c r="D142" s="218">
        <f t="shared" si="25"/>
        <v>1233.3061048424643</v>
      </c>
      <c r="E142" s="161">
        <f t="shared" si="17"/>
        <v>1233</v>
      </c>
      <c r="G142" s="164">
        <f t="shared" si="26"/>
        <v>100.68179280771012</v>
      </c>
      <c r="J142" s="121">
        <f t="shared" si="27"/>
        <v>5.29</v>
      </c>
      <c r="K142" s="121">
        <f t="shared" si="28"/>
        <v>11.09</v>
      </c>
      <c r="L142" s="121">
        <f t="shared" si="29"/>
        <v>21.7</v>
      </c>
      <c r="M142" s="121">
        <f t="shared" si="23"/>
        <v>1</v>
      </c>
    </row>
    <row r="143" spans="1:13" s="121" customFormat="1" ht="12.75">
      <c r="A143" s="161">
        <v>113</v>
      </c>
      <c r="B143" s="161">
        <f t="shared" si="22"/>
        <v>17.65625</v>
      </c>
      <c r="C143" s="161">
        <f t="shared" si="24"/>
        <v>260</v>
      </c>
      <c r="D143" s="218">
        <f t="shared" si="25"/>
        <v>1297.1779109423314</v>
      </c>
      <c r="E143" s="161">
        <f t="shared" si="17"/>
        <v>1297</v>
      </c>
      <c r="G143" s="164">
        <f t="shared" si="26"/>
        <v>100.68379189782856</v>
      </c>
      <c r="J143" s="121">
        <f t="shared" si="27"/>
        <v>5.29</v>
      </c>
      <c r="K143" s="121">
        <f t="shared" si="28"/>
        <v>11.09</v>
      </c>
      <c r="L143" s="121">
        <f t="shared" si="29"/>
        <v>21.7</v>
      </c>
      <c r="M143" s="121">
        <f t="shared" si="23"/>
        <v>1</v>
      </c>
    </row>
    <row r="144" spans="1:13" s="121" customFormat="1" ht="12.75">
      <c r="A144" s="161">
        <v>114</v>
      </c>
      <c r="B144" s="161">
        <f t="shared" si="22"/>
        <v>17.8125</v>
      </c>
      <c r="C144" s="161">
        <f t="shared" si="24"/>
        <v>264</v>
      </c>
      <c r="D144" s="218">
        <f t="shared" si="25"/>
        <v>1364.35758002807</v>
      </c>
      <c r="E144" s="161">
        <f t="shared" si="17"/>
        <v>1364</v>
      </c>
      <c r="G144" s="164">
        <f t="shared" si="26"/>
        <v>100.68162735136143</v>
      </c>
      <c r="J144" s="121">
        <f t="shared" si="27"/>
        <v>5.29</v>
      </c>
      <c r="K144" s="121">
        <f t="shared" si="28"/>
        <v>11.09</v>
      </c>
      <c r="L144" s="121">
        <f t="shared" si="29"/>
        <v>21.7</v>
      </c>
      <c r="M144" s="121">
        <f t="shared" si="23"/>
        <v>1</v>
      </c>
    </row>
    <row r="145" spans="1:13" s="121" customFormat="1" ht="12.75">
      <c r="A145" s="161">
        <v>115</v>
      </c>
      <c r="B145" s="161">
        <f t="shared" si="22"/>
        <v>17.96875</v>
      </c>
      <c r="C145" s="161">
        <f t="shared" si="24"/>
        <v>269</v>
      </c>
      <c r="D145" s="218">
        <f t="shared" si="25"/>
        <v>1435.0164233276132</v>
      </c>
      <c r="E145" s="161">
        <f t="shared" si="17"/>
        <v>1435</v>
      </c>
      <c r="G145" s="164">
        <f t="shared" si="26"/>
        <v>100.6860139005894</v>
      </c>
      <c r="J145" s="121">
        <f t="shared" si="27"/>
        <v>5.29</v>
      </c>
      <c r="K145" s="121">
        <f t="shared" si="28"/>
        <v>11.1</v>
      </c>
      <c r="L145" s="121">
        <f t="shared" si="29"/>
        <v>21.7</v>
      </c>
      <c r="M145" s="121">
        <f t="shared" si="23"/>
        <v>1</v>
      </c>
    </row>
    <row r="146" spans="1:13" s="121" customFormat="1" ht="12.75">
      <c r="A146" s="161">
        <v>116</v>
      </c>
      <c r="B146" s="161">
        <f t="shared" si="22"/>
        <v>18.125</v>
      </c>
      <c r="C146" s="161">
        <f t="shared" si="24"/>
        <v>274</v>
      </c>
      <c r="D146" s="218">
        <f t="shared" si="25"/>
        <v>1509.3346241222266</v>
      </c>
      <c r="E146" s="161">
        <f t="shared" si="17"/>
        <v>1509</v>
      </c>
      <c r="G146" s="164">
        <f t="shared" si="26"/>
        <v>100.6824007795172</v>
      </c>
      <c r="J146" s="121">
        <f t="shared" si="27"/>
        <v>5.29</v>
      </c>
      <c r="K146" s="121">
        <f t="shared" si="28"/>
        <v>11.1</v>
      </c>
      <c r="L146" s="121">
        <f t="shared" si="29"/>
        <v>21.7</v>
      </c>
      <c r="M146" s="121">
        <f t="shared" si="23"/>
        <v>1</v>
      </c>
    </row>
    <row r="147" spans="1:13" s="121" customFormat="1" ht="12.75">
      <c r="A147" s="161">
        <v>117</v>
      </c>
      <c r="B147" s="161">
        <f t="shared" si="22"/>
        <v>18.28125</v>
      </c>
      <c r="C147" s="161">
        <f t="shared" si="24"/>
        <v>279</v>
      </c>
      <c r="D147" s="218">
        <f t="shared" si="25"/>
        <v>1587.5016972221065</v>
      </c>
      <c r="E147" s="161">
        <f t="shared" si="17"/>
        <v>1588</v>
      </c>
      <c r="G147" s="164">
        <f t="shared" si="26"/>
        <v>100.69156128471555</v>
      </c>
      <c r="J147" s="121">
        <f t="shared" si="27"/>
        <v>5.28</v>
      </c>
      <c r="K147" s="121">
        <f t="shared" si="28"/>
        <v>11.1</v>
      </c>
      <c r="L147" s="121">
        <f t="shared" si="29"/>
        <v>21.7</v>
      </c>
      <c r="M147" s="121">
        <f t="shared" si="23"/>
        <v>1</v>
      </c>
    </row>
    <row r="148" spans="1:13" s="121" customFormat="1" ht="12.75">
      <c r="A148" s="161">
        <v>118</v>
      </c>
      <c r="B148" s="161">
        <f t="shared" si="22"/>
        <v>18.4375</v>
      </c>
      <c r="C148" s="161">
        <f t="shared" si="24"/>
        <v>283</v>
      </c>
      <c r="D148" s="218">
        <f t="shared" si="25"/>
        <v>1669.7169722378192</v>
      </c>
      <c r="E148" s="161">
        <f t="shared" si="17"/>
        <v>1670</v>
      </c>
      <c r="G148" s="164">
        <f t="shared" si="26"/>
        <v>100.68907659131537</v>
      </c>
      <c r="J148" s="121">
        <f t="shared" si="27"/>
        <v>5.28</v>
      </c>
      <c r="K148" s="121">
        <f t="shared" si="28"/>
        <v>11.1</v>
      </c>
      <c r="L148" s="121">
        <f t="shared" si="29"/>
        <v>21.7</v>
      </c>
      <c r="M148" s="121">
        <f t="shared" si="23"/>
        <v>1</v>
      </c>
    </row>
    <row r="149" spans="1:13" s="121" customFormat="1" ht="12.75">
      <c r="A149" s="161">
        <v>119</v>
      </c>
      <c r="B149" s="161">
        <f t="shared" si="22"/>
        <v>18.59375</v>
      </c>
      <c r="C149" s="161">
        <f t="shared" si="24"/>
        <v>288</v>
      </c>
      <c r="D149" s="218">
        <f t="shared" si="25"/>
        <v>1756.1901018799156</v>
      </c>
      <c r="E149" s="161">
        <f t="shared" si="17"/>
        <v>1756</v>
      </c>
      <c r="G149" s="164">
        <f t="shared" si="26"/>
        <v>100.68439836602383</v>
      </c>
      <c r="J149" s="121">
        <f t="shared" si="27"/>
        <v>5.28</v>
      </c>
      <c r="K149" s="121">
        <f t="shared" si="28"/>
        <v>11.1</v>
      </c>
      <c r="L149" s="121">
        <f t="shared" si="29"/>
        <v>21.7</v>
      </c>
      <c r="M149" s="121">
        <f t="shared" si="23"/>
        <v>1</v>
      </c>
    </row>
    <row r="150" spans="1:13" s="121" customFormat="1" ht="12.75">
      <c r="A150" s="161">
        <v>120</v>
      </c>
      <c r="B150" s="161">
        <f t="shared" si="22"/>
        <v>18.75</v>
      </c>
      <c r="C150" s="161">
        <f t="shared" si="24"/>
        <v>293</v>
      </c>
      <c r="D150" s="218">
        <f t="shared" si="25"/>
        <v>1847.1415965829326</v>
      </c>
      <c r="E150" s="161">
        <f t="shared" si="17"/>
        <v>1847</v>
      </c>
      <c r="G150" s="164">
        <f t="shared" si="26"/>
        <v>100.68493846583077</v>
      </c>
      <c r="J150" s="121">
        <f t="shared" si="27"/>
        <v>5.28</v>
      </c>
      <c r="K150" s="121">
        <f t="shared" si="28"/>
        <v>11.1</v>
      </c>
      <c r="L150" s="121">
        <f t="shared" si="29"/>
        <v>21.7</v>
      </c>
      <c r="M150" s="121">
        <f t="shared" si="23"/>
        <v>1</v>
      </c>
    </row>
    <row r="151" spans="1:13" s="121" customFormat="1" ht="12.75">
      <c r="A151" s="161">
        <v>121</v>
      </c>
      <c r="B151" s="161">
        <f t="shared" si="22"/>
        <v>18.90625</v>
      </c>
      <c r="C151" s="161">
        <f t="shared" si="24"/>
        <v>298</v>
      </c>
      <c r="D151" s="218">
        <f t="shared" si="25"/>
        <v>1942.8033868170871</v>
      </c>
      <c r="E151" s="161">
        <f t="shared" si="17"/>
        <v>1943</v>
      </c>
      <c r="G151" s="164">
        <f t="shared" si="26"/>
        <v>100.6878800531227</v>
      </c>
      <c r="J151" s="121">
        <f t="shared" si="27"/>
        <v>5.28</v>
      </c>
      <c r="K151" s="121">
        <f t="shared" si="28"/>
        <v>11.1</v>
      </c>
      <c r="L151" s="121">
        <f t="shared" si="29"/>
        <v>21.7</v>
      </c>
      <c r="M151" s="121">
        <f t="shared" si="23"/>
        <v>1</v>
      </c>
    </row>
    <row r="152" spans="1:13" s="121" customFormat="1" ht="12.75">
      <c r="A152" s="161">
        <v>122</v>
      </c>
      <c r="B152" s="161">
        <f t="shared" si="22"/>
        <v>19.0625</v>
      </c>
      <c r="C152" s="161">
        <f t="shared" si="24"/>
        <v>303</v>
      </c>
      <c r="D152" s="218">
        <f t="shared" si="25"/>
        <v>2043.4194145215756</v>
      </c>
      <c r="E152" s="161">
        <f t="shared" si="17"/>
        <v>2043</v>
      </c>
      <c r="G152" s="164">
        <f t="shared" si="26"/>
        <v>100.68285719360182</v>
      </c>
      <c r="J152" s="121">
        <f t="shared" si="27"/>
        <v>5.28</v>
      </c>
      <c r="K152" s="121">
        <f t="shared" si="28"/>
        <v>11.1</v>
      </c>
      <c r="L152" s="121">
        <f t="shared" si="29"/>
        <v>21.7</v>
      </c>
      <c r="M152" s="121">
        <f t="shared" si="23"/>
        <v>1</v>
      </c>
    </row>
    <row r="153" spans="1:13" s="121" customFormat="1" ht="12.75">
      <c r="A153" s="161">
        <v>123</v>
      </c>
      <c r="B153" s="161">
        <f t="shared" si="22"/>
        <v>19.21875</v>
      </c>
      <c r="C153" s="161">
        <f t="shared" si="24"/>
        <v>308</v>
      </c>
      <c r="D153" s="218">
        <f t="shared" si="25"/>
        <v>2149.246255167674</v>
      </c>
      <c r="E153" s="161">
        <f t="shared" si="17"/>
        <v>2149</v>
      </c>
      <c r="G153" s="164">
        <f t="shared" si="26"/>
        <v>100.68435471253161</v>
      </c>
      <c r="J153" s="121">
        <f t="shared" si="27"/>
        <v>5.28</v>
      </c>
      <c r="K153" s="121">
        <f t="shared" si="28"/>
        <v>11.1</v>
      </c>
      <c r="L153" s="121">
        <f t="shared" si="29"/>
        <v>21.7</v>
      </c>
      <c r="M153" s="121">
        <f t="shared" si="23"/>
        <v>1</v>
      </c>
    </row>
    <row r="154" spans="1:13" s="121" customFormat="1" ht="12.75">
      <c r="A154" s="161">
        <v>124</v>
      </c>
      <c r="B154" s="161">
        <f t="shared" si="22"/>
        <v>19.375</v>
      </c>
      <c r="C154" s="161">
        <f t="shared" si="24"/>
        <v>313</v>
      </c>
      <c r="D154" s="218">
        <f t="shared" si="25"/>
        <v>2260.55377203792</v>
      </c>
      <c r="E154" s="161">
        <f t="shared" si="17"/>
        <v>2261</v>
      </c>
      <c r="G154" s="164">
        <f t="shared" si="26"/>
        <v>100.68938644284468</v>
      </c>
      <c r="J154" s="121">
        <f t="shared" si="27"/>
        <v>5.28</v>
      </c>
      <c r="K154" s="121">
        <f t="shared" si="28"/>
        <v>11.1</v>
      </c>
      <c r="L154" s="121">
        <f t="shared" si="29"/>
        <v>21.7</v>
      </c>
      <c r="M154" s="121">
        <f t="shared" si="23"/>
        <v>1</v>
      </c>
    </row>
    <row r="155" spans="1:13" s="121" customFormat="1" ht="12.75">
      <c r="A155" s="161">
        <v>125</v>
      </c>
      <c r="B155" s="161">
        <f t="shared" si="22"/>
        <v>19.53125</v>
      </c>
      <c r="C155" s="161">
        <f t="shared" si="24"/>
        <v>318</v>
      </c>
      <c r="D155" s="218">
        <f t="shared" si="25"/>
        <v>2377.625804389832</v>
      </c>
      <c r="E155" s="161">
        <f t="shared" si="17"/>
        <v>2378</v>
      </c>
      <c r="G155" s="164">
        <f t="shared" si="26"/>
        <v>100.68872280968213</v>
      </c>
      <c r="J155" s="121">
        <f t="shared" si="27"/>
        <v>5.28</v>
      </c>
      <c r="K155" s="121">
        <f t="shared" si="28"/>
        <v>11.1</v>
      </c>
      <c r="L155" s="121">
        <f t="shared" si="29"/>
        <v>21.7</v>
      </c>
      <c r="M155" s="121">
        <f t="shared" si="23"/>
        <v>1</v>
      </c>
    </row>
    <row r="156" spans="1:13" s="121" customFormat="1" ht="12.75">
      <c r="A156" s="161">
        <v>126</v>
      </c>
      <c r="B156" s="161">
        <f t="shared" si="22"/>
        <v>19.6875</v>
      </c>
      <c r="C156" s="161">
        <f t="shared" si="24"/>
        <v>323</v>
      </c>
      <c r="D156" s="218">
        <f t="shared" si="25"/>
        <v>2500.7608912589803</v>
      </c>
      <c r="E156" s="161">
        <f t="shared" si="17"/>
        <v>2501</v>
      </c>
      <c r="G156" s="164">
        <f t="shared" si="26"/>
        <v>100.68772547322519</v>
      </c>
      <c r="J156" s="121">
        <f t="shared" si="27"/>
        <v>5.28</v>
      </c>
      <c r="K156" s="121">
        <f t="shared" si="28"/>
        <v>11.11</v>
      </c>
      <c r="L156" s="121">
        <f t="shared" si="29"/>
        <v>21.7</v>
      </c>
      <c r="M156" s="121">
        <f t="shared" si="23"/>
        <v>1</v>
      </c>
    </row>
    <row r="157" spans="1:13" s="121" customFormat="1" ht="12.75">
      <c r="A157" s="161">
        <v>127</v>
      </c>
      <c r="B157" s="161">
        <f t="shared" si="22"/>
        <v>19.84375</v>
      </c>
      <c r="C157" s="161">
        <f t="shared" si="24"/>
        <v>328</v>
      </c>
      <c r="D157" s="218">
        <f t="shared" si="25"/>
        <v>2630.2730327471836</v>
      </c>
      <c r="E157" s="161">
        <f t="shared" si="17"/>
        <v>2630</v>
      </c>
      <c r="G157" s="164">
        <f t="shared" si="26"/>
        <v>100.68458239833342</v>
      </c>
      <c r="J157" s="121">
        <f t="shared" si="27"/>
        <v>5.28</v>
      </c>
      <c r="K157" s="121">
        <f t="shared" si="28"/>
        <v>11.11</v>
      </c>
      <c r="L157" s="121">
        <f t="shared" si="29"/>
        <v>21.7</v>
      </c>
      <c r="M157" s="121">
        <f t="shared" si="23"/>
        <v>1</v>
      </c>
    </row>
    <row r="158" spans="1:13" s="121" customFormat="1" ht="13.5" thickBot="1">
      <c r="A158" s="219">
        <v>128</v>
      </c>
      <c r="B158" s="219">
        <f t="shared" si="22"/>
        <v>20</v>
      </c>
      <c r="C158" s="161">
        <f>INT(((B158*SQRT(des_pres))/(des_spd))^2+0.5)</f>
        <v>333</v>
      </c>
      <c r="D158" s="218">
        <f t="shared" si="25"/>
        <v>2766.492490737134</v>
      </c>
      <c r="E158" s="161">
        <f t="shared" si="17"/>
        <v>2766</v>
      </c>
      <c r="F158" s="219"/>
      <c r="G158" s="164">
        <f t="shared" si="26"/>
        <v>100.6834387787722</v>
      </c>
      <c r="H158" s="219"/>
      <c r="J158" s="121">
        <f t="shared" si="27"/>
        <v>5.27</v>
      </c>
      <c r="K158" s="121">
        <f t="shared" si="28"/>
        <v>11.11</v>
      </c>
      <c r="L158" s="121">
        <f t="shared" si="29"/>
        <v>21.7</v>
      </c>
      <c r="M158" s="121">
        <f t="shared" si="23"/>
        <v>0</v>
      </c>
    </row>
    <row r="159" spans="2:5" ht="13.5" thickTop="1">
      <c r="B159" s="138"/>
      <c r="E159" s="138"/>
    </row>
  </sheetData>
  <sheetProtection/>
  <mergeCells count="5">
    <mergeCell ref="J14:M14"/>
    <mergeCell ref="A28:E28"/>
    <mergeCell ref="A1:D3"/>
    <mergeCell ref="A4:D4"/>
    <mergeCell ref="E4:H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Oklahoma State University Application Table Generator</dc:title>
  <dc:subject>Version 2.0 - February 18, 2002</dc:subject>
  <dc:creator>Marvin Stone</dc:creator>
  <cp:keywords/>
  <dc:description/>
  <cp:lastModifiedBy>William Raun</cp:lastModifiedBy>
  <cp:lastPrinted>2003-02-06T13:55:01Z</cp:lastPrinted>
  <dcterms:created xsi:type="dcterms:W3CDTF">2002-01-31T19:41:47Z</dcterms:created>
  <dcterms:modified xsi:type="dcterms:W3CDTF">2006-03-01T16:55:54Z</dcterms:modified>
  <cp:category/>
  <cp:version/>
  <cp:contentType/>
  <cp:contentStatus/>
</cp:coreProperties>
</file>