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23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<sst xmlns="http://schemas.openxmlformats.org/spreadsheetml/2006/main" count="300" uniqueCount="57">
  <si>
    <t>N Rate, lb/ac</t>
  </si>
  <si>
    <t>Grain yield, bu/ac</t>
  </si>
  <si>
    <t>Difference</t>
  </si>
  <si>
    <t>Mead, NE Rainfed</t>
  </si>
  <si>
    <t>Max</t>
  </si>
  <si>
    <t>%Max</t>
  </si>
  <si>
    <t>Year</t>
  </si>
  <si>
    <t>Maximum</t>
  </si>
  <si>
    <t>Shelton, NE Irrigated</t>
  </si>
  <si>
    <t>Chk, Nup</t>
  </si>
  <si>
    <t>Max N up</t>
  </si>
  <si>
    <t>Min</t>
  </si>
  <si>
    <t>Avg.</t>
  </si>
  <si>
    <t>Stdev</t>
  </si>
  <si>
    <t>Chk, N uptake</t>
  </si>
  <si>
    <t>Max N uptake</t>
  </si>
  <si>
    <t>2000b</t>
  </si>
  <si>
    <t>40N, N uptake</t>
  </si>
  <si>
    <t>RCRS</t>
  </si>
  <si>
    <t>Varvel, Mead Rainfed</t>
  </si>
  <si>
    <t>Varvel, Shelton, Irrig.</t>
  </si>
  <si>
    <t>Mullen, Ohio</t>
  </si>
  <si>
    <t>MAX Yld</t>
  </si>
  <si>
    <t>N Rate</t>
  </si>
  <si>
    <t>Wooster, OH, Rainfed</t>
  </si>
  <si>
    <t>Robert Mullen</t>
  </si>
  <si>
    <t>Gary Varvel</t>
  </si>
  <si>
    <t>Richard Ferguson</t>
  </si>
  <si>
    <t>Clay Center, NE</t>
  </si>
  <si>
    <t>Chk N uptake</t>
  </si>
  <si>
    <t>Max N Uptake</t>
  </si>
  <si>
    <t>NUE</t>
  </si>
  <si>
    <t>Chk N up</t>
  </si>
  <si>
    <t>lb/ac</t>
  </si>
  <si>
    <t>bu/ac</t>
  </si>
  <si>
    <t>ENGLISH UNITS</t>
  </si>
  <si>
    <t>Chk yld</t>
  </si>
  <si>
    <t>90 lb %MAX</t>
  </si>
  <si>
    <t>Larry Bundy, Wisconsin</t>
  </si>
  <si>
    <t>The year was clearly an outlier</t>
  </si>
  <si>
    <t>Max N uptake/Rate</t>
  </si>
  <si>
    <t>0N</t>
  </si>
  <si>
    <t>N rate</t>
  </si>
  <si>
    <t>Gyles Randall, Corn after soybeans</t>
  </si>
  <si>
    <t>Gyles Randall, Continuos Corn</t>
  </si>
  <si>
    <t>180 lb</t>
  </si>
  <si>
    <t>Rate</t>
  </si>
  <si>
    <t>Prof, Mead</t>
  </si>
  <si>
    <t>Varvel, rainfed</t>
  </si>
  <si>
    <t>Varvel, irrigated</t>
  </si>
  <si>
    <t>Mullen</t>
  </si>
  <si>
    <t>Ferguson</t>
  </si>
  <si>
    <t>Bundy</t>
  </si>
  <si>
    <t>Randall cs</t>
  </si>
  <si>
    <t>Randall cc</t>
  </si>
  <si>
    <t>RI</t>
  </si>
  <si>
    <t>Prev RI * Prev Yld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</si>
</sst>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.5"/>
      <name val="Arial"/>
      <family val="0"/>
    </font>
    <font>
      <b/>
      <sz val="10"/>
      <color indexed="4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8.75"/>
      <name val="Arial"/>
      <family val="0"/>
    </font>
    <font>
      <sz val="10"/>
      <color indexed="18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2" fillId="4" borderId="0" xfId="0" applyNumberFormat="1" applyFont="1" applyFill="1" applyAlignment="1">
      <alignment horizontal="left"/>
    </xf>
    <xf numFmtId="167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" fontId="1" fillId="5" borderId="0" xfId="0" applyNumberFormat="1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13" fillId="7" borderId="0" xfId="0" applyFont="1" applyFill="1" applyAlignment="1">
      <alignment horizontal="left"/>
    </xf>
    <xf numFmtId="0" fontId="1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13" fillId="8" borderId="0" xfId="0" applyFont="1" applyFill="1" applyAlignment="1">
      <alignment horizontal="left"/>
    </xf>
    <xf numFmtId="0" fontId="0" fillId="8" borderId="0" xfId="0" applyFont="1" applyFill="1" applyAlignment="1">
      <alignment horizontal="left"/>
    </xf>
    <xf numFmtId="0" fontId="9" fillId="9" borderId="0" xfId="0" applyFont="1" applyFill="1" applyAlignment="1">
      <alignment horizontal="left"/>
    </xf>
    <xf numFmtId="0" fontId="13" fillId="9" borderId="0" xfId="0" applyFont="1" applyFill="1" applyAlignment="1">
      <alignment horizontal="left"/>
    </xf>
    <xf numFmtId="2" fontId="1" fillId="9" borderId="0" xfId="0" applyNumberFormat="1" applyFont="1" applyFill="1" applyAlignment="1">
      <alignment horizontal="left"/>
    </xf>
    <xf numFmtId="0" fontId="0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6" fillId="9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1" fillId="1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2" fontId="0" fillId="6" borderId="0" xfId="0" applyNumberFormat="1" applyFont="1" applyFill="1" applyAlignment="1">
      <alignment horizontal="left"/>
    </xf>
    <xf numFmtId="0" fontId="0" fillId="11" borderId="0" xfId="0" applyFill="1" applyAlignment="1">
      <alignment horizontal="left"/>
    </xf>
    <xf numFmtId="0" fontId="1" fillId="11" borderId="0" xfId="0" applyFont="1" applyFill="1" applyAlignment="1">
      <alignment horizontal="left"/>
    </xf>
    <xf numFmtId="0" fontId="7" fillId="11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2" fontId="0" fillId="11" borderId="0" xfId="0" applyNumberFormat="1" applyFont="1" applyFill="1" applyAlignment="1">
      <alignment horizontal="left"/>
    </xf>
    <xf numFmtId="2" fontId="0" fillId="7" borderId="0" xfId="0" applyNumberFormat="1" applyFill="1" applyAlignment="1">
      <alignment horizontal="left"/>
    </xf>
    <xf numFmtId="2" fontId="0" fillId="9" borderId="0" xfId="0" applyNumberFormat="1" applyFont="1" applyFill="1" applyAlignment="1">
      <alignment horizontal="left"/>
    </xf>
    <xf numFmtId="0" fontId="21" fillId="0" borderId="0" xfId="0" applyFont="1" applyAlignment="1">
      <alignment horizontal="left"/>
    </xf>
    <xf numFmtId="0" fontId="0" fillId="10" borderId="0" xfId="0" applyFont="1" applyFill="1" applyAlignment="1">
      <alignment horizontal="left"/>
    </xf>
    <xf numFmtId="0" fontId="0" fillId="12" borderId="0" xfId="0" applyFont="1" applyFill="1" applyAlignment="1">
      <alignment horizontal="left"/>
    </xf>
    <xf numFmtId="2" fontId="0" fillId="12" borderId="0" xfId="0" applyNumberFormat="1" applyFont="1" applyFill="1" applyAlignment="1">
      <alignment horizontal="left"/>
    </xf>
    <xf numFmtId="0" fontId="1" fillId="12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7" borderId="0" xfId="0" applyFill="1" applyAlignment="1">
      <alignment/>
    </xf>
    <xf numFmtId="0" fontId="0" fillId="12" borderId="0" xfId="0" applyFill="1" applyAlignment="1">
      <alignment/>
    </xf>
    <xf numFmtId="0" fontId="0" fillId="9" borderId="0" xfId="0" applyFill="1" applyAlignment="1">
      <alignment/>
    </xf>
    <xf numFmtId="0" fontId="9" fillId="0" borderId="0" xfId="0" applyFont="1" applyAlignment="1">
      <alignment horizontal="left"/>
    </xf>
    <xf numFmtId="0" fontId="22" fillId="7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Mead RCRS, Prof Olson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4825"/>
          <c:w val="0.861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Chk,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Sheet1!$A$6:$A$20</c:f>
              <c:numCache/>
            </c:numRef>
          </c:xVal>
          <c:yVal>
            <c:numRef>
              <c:f>Sheet1!$J$6:$J$20</c:f>
              <c:numCache/>
            </c:numRef>
          </c:y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Sheet1!$A$6:$A$20</c:f>
              <c:numCache/>
            </c:numRef>
          </c:xVal>
          <c:yVal>
            <c:numRef>
              <c:f>Sheet1!$K$6:$K$20</c:f>
              <c:numCache/>
            </c:numRef>
          </c:yVal>
          <c:smooth val="0"/>
        </c:ser>
        <c:axId val="1308205"/>
        <c:axId val="11773846"/>
      </c:scatterChart>
      <c:scatterChart>
        <c:scatterStyle val="lineMarker"/>
        <c:varyColors val="0"/>
        <c:ser>
          <c:idx val="2"/>
          <c:order val="2"/>
          <c:tx>
            <c:strRef>
              <c:f>Sheet1!$L$5</c:f>
              <c:strCache>
                <c:ptCount val="1"/>
                <c:pt idx="0">
                  <c:v>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Sheet1!$A$6:$A$20</c:f>
              <c:numCache/>
            </c:numRef>
          </c:xVal>
          <c:yVal>
            <c:numRef>
              <c:f>Sheet1!$L$6:$L$20</c:f>
              <c:numCache/>
            </c:numRef>
          </c:yVal>
          <c:smooth val="0"/>
        </c:ser>
        <c:axId val="38855751"/>
        <c:axId val="14157440"/>
      </c:scatterChart>
      <c:valAx>
        <c:axId val="130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73846"/>
        <c:crosses val="autoZero"/>
        <c:crossBetween val="midCat"/>
        <c:dispUnits/>
      </c:valAx>
      <c:valAx>
        <c:axId val="11773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8205"/>
        <c:crosses val="autoZero"/>
        <c:crossBetween val="midCat"/>
        <c:dispUnits/>
      </c:valAx>
      <c:valAx>
        <c:axId val="38855751"/>
        <c:scaling>
          <c:orientation val="minMax"/>
        </c:scaling>
        <c:axPos val="b"/>
        <c:delete val="1"/>
        <c:majorTickMark val="in"/>
        <c:minorTickMark val="none"/>
        <c:tickLblPos val="nextTo"/>
        <c:crossAx val="14157440"/>
        <c:crosses val="max"/>
        <c:crossBetween val="midCat"/>
        <c:dispUnits/>
      </c:valAx>
      <c:valAx>
        <c:axId val="14157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8557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0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"/>
          <c:w val="0.9435"/>
          <c:h val="0.9112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Sheet1!$M$102:$M$115</c:f>
              <c:numCache/>
            </c:numRef>
          </c:xVal>
          <c:yVal>
            <c:numRef>
              <c:f>Sheet1!$I$102:$I$115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Sheet1!$M$83:$M$90</c:f>
              <c:numCache/>
            </c:numRef>
          </c:xVal>
          <c:yVal>
            <c:numRef>
              <c:f>Sheet1!$I$83:$I$90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Sheet1!$M$60:$M$72</c:f>
              <c:numCache/>
            </c:numRef>
          </c:xVal>
          <c:yVal>
            <c:numRef>
              <c:f>Sheet1!$I$60:$I$72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Sheet1!$M$28:$M$48</c:f>
              <c:numCache/>
            </c:numRef>
          </c:xVal>
          <c:yVal>
            <c:numRef>
              <c:f>Sheet1!$I$28:$I$48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Sheet1!$M$6:$M$20</c:f>
              <c:numCache/>
            </c:numRef>
          </c:xVal>
          <c:yVal>
            <c:numRef>
              <c:f>Sheet1!$I$6:$I$20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Sheet1!$M$123:$M$159</c:f>
              <c:numCache/>
            </c:numRef>
          </c:xVal>
          <c:yVal>
            <c:numRef>
              <c:f>Sheet1!$C$123:$C$159</c:f>
              <c:numCache/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Sheet1!$M$171:$M$187</c:f>
              <c:numCache/>
            </c:numRef>
          </c:xVal>
          <c:yVal>
            <c:numRef>
              <c:f>Sheet1!$I$171:$I$187</c:f>
              <c:numCache/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Sheet1!$M$191:$M$202</c:f>
              <c:numCache/>
            </c:numRef>
          </c:xVal>
          <c:yVal>
            <c:numRef>
              <c:f>Sheet1!$I$191:$I$202</c:f>
              <c:numCache/>
            </c:numRef>
          </c:yVal>
          <c:smooth val="0"/>
        </c:ser>
        <c:axId val="62542655"/>
        <c:axId val="26012984"/>
      </c:scatterChart>
      <c:valAx>
        <c:axId val="6254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2984"/>
        <c:crosses val="autoZero"/>
        <c:crossBetween val="midCat"/>
        <c:dispUnits/>
      </c:val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Maximum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2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48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25"/>
          <c:w val="0.9435"/>
          <c:h val="0.9112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Sheet1!$M$102:$M$115</c:f>
              <c:numCache/>
            </c:numRef>
          </c:xVal>
          <c:yVal>
            <c:numRef>
              <c:f>Sheet1!$L$102:$L$115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Sheet1!$M$83:$M$90</c:f>
              <c:numCache/>
            </c:numRef>
          </c:xVal>
          <c:yVal>
            <c:numRef>
              <c:f>Sheet1!$L$83:$L$90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Sheet1!$M$60:$M$72</c:f>
              <c:numCache/>
            </c:numRef>
          </c:xVal>
          <c:yVal>
            <c:numRef>
              <c:f>Sheet1!$L$60:$L$72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Sheet1!$M$28:$M$48</c:f>
              <c:numCache/>
            </c:numRef>
          </c:xVal>
          <c:yVal>
            <c:numRef>
              <c:f>Sheet1!$L$28:$L$48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Sheet1!$M$6:$M$20</c:f>
              <c:numCache/>
            </c:numRef>
          </c:xVal>
          <c:yVal>
            <c:numRef>
              <c:f>Sheet1!$L$6:$L$20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Sheet1!$M$123:$M$159</c:f>
              <c:numCache/>
            </c:numRef>
          </c:xVal>
          <c:yVal>
            <c:numRef>
              <c:f>Sheet1!$L$123:$L$159</c:f>
              <c:numCache/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Sheet1!$M$171:$M$187</c:f>
              <c:numCache/>
            </c:numRef>
          </c:xVal>
          <c:yVal>
            <c:numRef>
              <c:f>Sheet1!$L$171:$L$187</c:f>
              <c:numCache/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Sheet1!$M$191:$M$202</c:f>
              <c:numCache/>
            </c:numRef>
          </c:xVal>
          <c:yVal>
            <c:numRef>
              <c:f>Sheet1!$L$191:$L$202</c:f>
              <c:numCache/>
            </c:numRef>
          </c:yVal>
          <c:smooth val="0"/>
        </c:ser>
        <c:axId val="32790265"/>
        <c:axId val="26676930"/>
      </c:scatterChart>
      <c:val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6930"/>
        <c:crosses val="autoZero"/>
        <c:crossBetween val="midCat"/>
        <c:dispUnits/>
      </c:valAx>
      <c:valAx>
        <c:axId val="2667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Difference in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790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4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25"/>
          <c:w val="0.94375"/>
          <c:h val="0.911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Sheet1!$L$102:$L$115</c:f>
              <c:numCache/>
            </c:numRef>
          </c:xVal>
          <c:yVal>
            <c:numRef>
              <c:f>Sheet1!$N$102:$N$115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Sheet1!$L$83:$L$90</c:f>
              <c:numCache/>
            </c:numRef>
          </c:xVal>
          <c:yVal>
            <c:numRef>
              <c:f>Sheet1!$N$83:$N$90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Sheet1!$L$60:$L$72</c:f>
              <c:numCache/>
            </c:numRef>
          </c:xVal>
          <c:yVal>
            <c:numRef>
              <c:f>Sheet1!$N$60:$N$72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Sheet1!$L$28:$L$48</c:f>
              <c:numCache/>
            </c:numRef>
          </c:xVal>
          <c:yVal>
            <c:numRef>
              <c:f>Sheet1!$N$28:$N$48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Sheet1!$L$6:$L$20</c:f>
              <c:numCache/>
            </c:numRef>
          </c:xVal>
          <c:yVal>
            <c:numRef>
              <c:f>Sheet1!$N$6:$N$20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Sheet1!$L$123:$L$159</c:f>
              <c:numCache/>
            </c:numRef>
          </c:xVal>
          <c:yVal>
            <c:numRef>
              <c:f>Sheet1!$N$123:$N$159</c:f>
              <c:numCache/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Sheet1!$L$171:$L$187</c:f>
              <c:numCache/>
            </c:numRef>
          </c:xVal>
          <c:yVal>
            <c:numRef>
              <c:f>Sheet1!$N$171:$N$187</c:f>
              <c:numCache/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Sheet1!$L$191:$L$202</c:f>
              <c:numCache/>
            </c:numRef>
          </c:xVal>
          <c:yVal>
            <c:numRef>
              <c:f>Sheet1!$N$191:$N$202</c:f>
              <c:numCache/>
            </c:numRef>
          </c:yVal>
          <c:smooth val="0"/>
        </c:ser>
        <c:axId val="38765779"/>
        <c:axId val="13347692"/>
      </c:scatterChart>
      <c:valAx>
        <c:axId val="3876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difference,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47692"/>
        <c:crosses val="autoZero"/>
        <c:crossBetween val="midCat"/>
        <c:dispUnits/>
      </c:valAx>
      <c:valAx>
        <c:axId val="133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Check Plot Yield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65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0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25"/>
          <c:w val="0.94375"/>
          <c:h val="0.911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Sheet1!$L$102:$L$115</c:f>
              <c:numCache/>
            </c:numRef>
          </c:xVal>
          <c:yVal>
            <c:numRef>
              <c:f>Sheet1!$O$102:$O$115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Sheet1!$L$83:$L$90</c:f>
              <c:numCache/>
            </c:numRef>
          </c:xVal>
          <c:yVal>
            <c:numRef>
              <c:f>Sheet1!$O$83:$O$90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Sheet1!$L$60:$L$72</c:f>
              <c:numCache/>
            </c:numRef>
          </c:xVal>
          <c:yVal>
            <c:numRef>
              <c:f>Sheet1!$O$60:$O$72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Sheet1!$L$28:$L$48</c:f>
              <c:numCache/>
            </c:numRef>
          </c:xVal>
          <c:yVal>
            <c:numRef>
              <c:f>Sheet1!$O$28:$O$48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Sheet1!$L$6:$L$20</c:f>
              <c:numCache/>
            </c:numRef>
          </c:xVal>
          <c:yVal>
            <c:numRef>
              <c:f>Sheet1!$O$6:$O$20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Sheet1!$L$123:$L$159</c:f>
              <c:numCache/>
            </c:numRef>
          </c:xVal>
          <c:yVal>
            <c:numRef>
              <c:f>Sheet1!$O$124:$O$159</c:f>
              <c:numCache/>
            </c:numRef>
          </c:yVal>
          <c:smooth val="0"/>
        </c:ser>
        <c:axId val="53020365"/>
        <c:axId val="7421238"/>
      </c:scatterChart>
      <c:val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difference,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421238"/>
        <c:crosses val="autoZero"/>
        <c:crossBetween val="midCat"/>
        <c:dispUnits/>
      </c:val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Low N rate, % of 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20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5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Arlington, WI, Mullen Rainfed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55"/>
          <c:w val="0.8827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Sheet1!$J$122</c:f>
              <c:strCache>
                <c:ptCount val="1"/>
                <c:pt idx="0">
                  <c:v>Chk N up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Sheet1!$A$123:$A$159</c:f>
              <c:numCache/>
            </c:numRef>
          </c:xVal>
          <c:yVal>
            <c:numRef>
              <c:f>Sheet1!$J$123:$J$159</c:f>
              <c:numCache/>
            </c:numRef>
          </c:y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Sheet1!$A$123:$A$159</c:f>
              <c:numCache/>
            </c:numRef>
          </c:xVal>
          <c:yVal>
            <c:numRef>
              <c:f>Sheet1!$K$123:$K$159</c:f>
              <c:numCache/>
            </c:numRef>
          </c:yVal>
          <c:smooth val="0"/>
        </c:ser>
        <c:axId val="66791143"/>
        <c:axId val="64249376"/>
      </c:scatterChart>
      <c:scatterChart>
        <c:scatterStyle val="lineMarker"/>
        <c:varyColors val="0"/>
        <c:ser>
          <c:idx val="2"/>
          <c:order val="2"/>
          <c:tx>
            <c:strRef>
              <c:f>Sheet1!$L$59</c:f>
              <c:strCache>
                <c:ptCount val="1"/>
                <c:pt idx="0">
                  <c:v>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Sheet1!$A$123:$A$159</c:f>
              <c:numCache/>
            </c:numRef>
          </c:xVal>
          <c:yVal>
            <c:numRef>
              <c:f>Sheet1!$L$123:$L$159</c:f>
              <c:numCache/>
            </c:numRef>
          </c:yVal>
          <c:smooth val="0"/>
        </c:ser>
        <c:axId val="41373473"/>
        <c:axId val="36816938"/>
      </c:scatterChart>
      <c:val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9376"/>
        <c:crosses val="autoZero"/>
        <c:crossBetween val="midCat"/>
        <c:dispUnits/>
      </c:val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91143"/>
        <c:crosses val="autoZero"/>
        <c:crossBetween val="midCat"/>
        <c:dispUnits/>
      </c:valAx>
      <c:valAx>
        <c:axId val="41373473"/>
        <c:scaling>
          <c:orientation val="minMax"/>
        </c:scaling>
        <c:axPos val="b"/>
        <c:delete val="1"/>
        <c:majorTickMark val="in"/>
        <c:minorTickMark val="none"/>
        <c:tickLblPos val="nextTo"/>
        <c:crossAx val="36816938"/>
        <c:crosses val="max"/>
        <c:crossBetween val="midCat"/>
        <c:dispUnits/>
      </c:valAx>
      <c:valAx>
        <c:axId val="36816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3734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25"/>
          <c:y val="0.4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25"/>
          <c:w val="0.9435"/>
          <c:h val="0.9112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Sheet1!$J$102:$J$115</c:f>
              <c:numCache/>
            </c:numRef>
          </c:xVal>
          <c:yVal>
            <c:numRef>
              <c:f>Sheet1!$K$102:$K$115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Sheet1!$J$83:$J$90</c:f>
              <c:numCache/>
            </c:numRef>
          </c:xVal>
          <c:yVal>
            <c:numRef>
              <c:f>Sheet1!$K$83:$K$90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Sheet1!$J$60:$J$72</c:f>
              <c:numCache/>
            </c:numRef>
          </c:xVal>
          <c:yVal>
            <c:numRef>
              <c:f>Sheet1!$K$60:$K$72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Sheet1!$J$28:$J$48</c:f>
              <c:numCache/>
            </c:numRef>
          </c:xVal>
          <c:yVal>
            <c:numRef>
              <c:f>Sheet1!$K$28:$K$48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Sheet1!$J$6:$J$20</c:f>
              <c:numCache/>
            </c:numRef>
          </c:xVal>
          <c:yVal>
            <c:numRef>
              <c:f>Sheet1!$K$6:$K$20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Sheet1!$J$123:$J$159</c:f>
              <c:numCache/>
            </c:numRef>
          </c:xVal>
          <c:yVal>
            <c:numRef>
              <c:f>Sheet1!$K$123:$K$159</c:f>
              <c:numCache/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Sheet1!$J$171:$J$187</c:f>
              <c:numCache/>
            </c:numRef>
          </c:xVal>
          <c:yVal>
            <c:numRef>
              <c:f>Sheet1!$K$171:$K$187</c:f>
              <c:numCache/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Sheet1!$J$191:$J$202</c:f>
              <c:numCache/>
            </c:numRef>
          </c:xVal>
          <c:yVal>
            <c:numRef>
              <c:f>Sheet1!$K$191:$K$202</c:f>
              <c:numCache/>
            </c:numRef>
          </c:yVal>
          <c:smooth val="0"/>
        </c:ser>
        <c:axId val="62916987"/>
        <c:axId val="29381972"/>
      </c:scatterChart>
      <c:val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Check,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1972"/>
        <c:crosses val="autoZero"/>
        <c:crossBetween val="midCat"/>
        <c:dispUnits/>
      </c:valAx>
      <c:valAx>
        <c:axId val="2938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Max Yield,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16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4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25"/>
          <c:w val="0.94375"/>
          <c:h val="0.911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Sheet1!$J$102:$J$115</c:f>
              <c:numCache/>
            </c:numRef>
          </c:xVal>
          <c:yVal>
            <c:numRef>
              <c:f>Sheet1!$P$102:$P$115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Sheet1!$J$83:$J$90</c:f>
              <c:numCache/>
            </c:numRef>
          </c:xVal>
          <c:yVal>
            <c:numRef>
              <c:f>Sheet1!$P$83:$P$90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Sheet1!$J$60:$J$72</c:f>
              <c:numCache/>
            </c:numRef>
          </c:xVal>
          <c:yVal>
            <c:numRef>
              <c:f>Sheet1!$P$60:$P$72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Sheet1!$J$28:$J$48</c:f>
              <c:numCache/>
            </c:numRef>
          </c:xVal>
          <c:yVal>
            <c:numRef>
              <c:f>Sheet1!$P$28:$P$48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Sheet1!$J$6:$J$20</c:f>
              <c:numCache/>
            </c:numRef>
          </c:xVal>
          <c:yVal>
            <c:numRef>
              <c:f>Sheet1!$P$6:$P$20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Sheet1!$J$123:$J$159</c:f>
              <c:numCache/>
            </c:numRef>
          </c:xVal>
          <c:yVal>
            <c:numRef>
              <c:f>Sheet1!$P$123:$P$159</c:f>
              <c:numCache/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Sheet1!$J$171:$J$187</c:f>
              <c:numCache/>
            </c:numRef>
          </c:xVal>
          <c:yVal>
            <c:numRef>
              <c:f>Sheet1!$P$171:$P$187</c:f>
              <c:numCache/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Sheet1!$J$191:$J$202</c:f>
              <c:numCache/>
            </c:numRef>
          </c:xVal>
          <c:yVal>
            <c:numRef>
              <c:f>Sheet1!$P$191:$P$202</c:f>
              <c:numCache/>
            </c:numRef>
          </c:yVal>
          <c:smooth val="0"/>
        </c:ser>
        <c:axId val="63111157"/>
        <c:axId val="31129502"/>
      </c:scatterChart>
      <c:valAx>
        <c:axId val="6311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Check,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29502"/>
        <c:crosses val="autoZero"/>
        <c:crossBetween val="midCat"/>
        <c:dispUnits/>
      </c:valAx>
      <c:valAx>
        <c:axId val="3112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Lbs of grain/lb of N applied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11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4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"/>
          <c:w val="0.94375"/>
          <c:h val="0.9117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Sheet1!$L$102:$L$115</c:f>
              <c:numCache/>
            </c:numRef>
          </c:xVal>
          <c:yVal>
            <c:numRef>
              <c:f>Sheet1!$Q$102:$Q$115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Sheet1!$L$83:$L$90</c:f>
              <c:numCache/>
            </c:numRef>
          </c:xVal>
          <c:yVal>
            <c:numRef>
              <c:f>Sheet1!$Q$83:$Q$90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Sheet1!$L$60:$L$72</c:f>
              <c:numCache/>
            </c:numRef>
          </c:xVal>
          <c:yVal>
            <c:numRef>
              <c:f>Sheet1!$Q$60:$Q$72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Sheet1!$L$28:$L$48</c:f>
              <c:numCache/>
            </c:numRef>
          </c:xVal>
          <c:yVal>
            <c:numRef>
              <c:f>Sheet1!$Q$28:$Q$48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Sheet1!$L$6:$L$20</c:f>
              <c:numCache/>
            </c:numRef>
          </c:xVal>
          <c:yVal>
            <c:numRef>
              <c:f>Sheet1!$Q$6:$Q$20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Sheet1!$L$123:$L$159</c:f>
              <c:numCache/>
            </c:numRef>
          </c:xVal>
          <c:yVal>
            <c:numRef>
              <c:f>Sheet1!$Q$123:$Q$159</c:f>
              <c:numCache/>
            </c:numRef>
          </c:yVal>
          <c:smooth val="0"/>
        </c:ser>
        <c:ser>
          <c:idx val="6"/>
          <c:order val="6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Sheet1!$L$191:$L$202</c:f>
              <c:numCache/>
            </c:numRef>
          </c:xVal>
          <c:yVal>
            <c:numRef>
              <c:f>Sheet1!$Q$191:$Q$202</c:f>
              <c:numCache/>
            </c:numRef>
          </c:yVal>
          <c:smooth val="0"/>
        </c:ser>
        <c:axId val="11730063"/>
        <c:axId val="38461704"/>
      </c:scatterChart>
      <c:valAx>
        <c:axId val="1173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difference,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61704"/>
        <c:crosses val="autoZero"/>
        <c:crossBetween val="midCat"/>
        <c:dispUnits/>
      </c:valAx>
      <c:valAx>
        <c:axId val="3846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Rate,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30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5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Bundy, WI, Rainfed</a:t>
            </a:r>
          </a:p>
        </c:rich>
      </c:tx>
      <c:layout>
        <c:manualLayout>
          <c:xMode val="factor"/>
          <c:yMode val="factor"/>
          <c:x val="0.011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"/>
          <c:w val="0.89"/>
          <c:h val="0.9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Sheet1!$J$122</c:f>
              <c:strCache>
                <c:ptCount val="1"/>
                <c:pt idx="0">
                  <c:v>Chk N up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Sheet1!$A$123:$A$159</c:f>
              <c:numCache/>
            </c:numRef>
          </c:xVal>
          <c:yVal>
            <c:numRef>
              <c:f>Sheet1!$J$123:$J$159</c:f>
              <c:numCache/>
            </c:numRef>
          </c:y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Sheet1!$A$123:$A$159</c:f>
              <c:numCache/>
            </c:numRef>
          </c:xVal>
          <c:yVal>
            <c:numRef>
              <c:f>Sheet1!$K$123:$K$159</c:f>
              <c:numCache/>
            </c:numRef>
          </c:yVal>
          <c:smooth val="0"/>
        </c:ser>
        <c:axId val="10611017"/>
        <c:axId val="28390290"/>
      </c:scatterChart>
      <c:scatterChart>
        <c:scatterStyle val="lineMarker"/>
        <c:varyColors val="0"/>
        <c:ser>
          <c:idx val="2"/>
          <c:order val="2"/>
          <c:tx>
            <c:strRef>
              <c:f>Sheet1!$L$59</c:f>
              <c:strCache>
                <c:ptCount val="1"/>
                <c:pt idx="0">
                  <c:v>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Sheet1!$A$123:$A$159</c:f>
              <c:numCache/>
            </c:numRef>
          </c:xVal>
          <c:yVal>
            <c:numRef>
              <c:f>Sheet1!$L$123:$L$159</c:f>
              <c:numCache/>
            </c:numRef>
          </c:yVal>
          <c:smooth val="0"/>
        </c:ser>
        <c:axId val="54186019"/>
        <c:axId val="17912124"/>
      </c:scatterChart>
      <c:valAx>
        <c:axId val="10611017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90290"/>
        <c:crosses val="autoZero"/>
        <c:crossBetween val="midCat"/>
        <c:dispUnits/>
      </c:valAx>
      <c:valAx>
        <c:axId val="283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1017"/>
        <c:crosses val="autoZero"/>
        <c:crossBetween val="midCat"/>
        <c:dispUnits/>
      </c:valAx>
      <c:valAx>
        <c:axId val="54186019"/>
        <c:scaling>
          <c:orientation val="minMax"/>
        </c:scaling>
        <c:axPos val="b"/>
        <c:delete val="1"/>
        <c:majorTickMark val="in"/>
        <c:minorTickMark val="none"/>
        <c:tickLblPos val="nextTo"/>
        <c:crossAx val="17912124"/>
        <c:crosses val="max"/>
        <c:crossBetween val="midCat"/>
        <c:dispUnits/>
      </c:valAx>
      <c:valAx>
        <c:axId val="1791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1860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75"/>
          <c:y val="0.8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Randall, Continuous Corn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655"/>
          <c:w val="0.8825"/>
          <c:h val="0.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Sheet1!$J$122</c:f>
              <c:strCache>
                <c:ptCount val="1"/>
                <c:pt idx="0">
                  <c:v>Chk N up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Sheet1!$A$191:$A$202</c:f>
              <c:numCache/>
            </c:numRef>
          </c:xVal>
          <c:yVal>
            <c:numRef>
              <c:f>Sheet1!$J$191:$J$202</c:f>
              <c:numCache/>
            </c:numRef>
          </c:y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Sheet1!$A$191:$A$202</c:f>
              <c:numCache/>
            </c:numRef>
          </c:xVal>
          <c:yVal>
            <c:numRef>
              <c:f>Sheet1!$K$191:$K$202</c:f>
              <c:numCache/>
            </c:numRef>
          </c:yVal>
          <c:smooth val="0"/>
        </c:ser>
        <c:axId val="26991389"/>
        <c:axId val="41595910"/>
      </c:scatterChart>
      <c:scatterChart>
        <c:scatterStyle val="lineMarker"/>
        <c:varyColors val="0"/>
        <c:ser>
          <c:idx val="2"/>
          <c:order val="2"/>
          <c:tx>
            <c:strRef>
              <c:f>Sheet1!$L$59</c:f>
              <c:strCache>
                <c:ptCount val="1"/>
                <c:pt idx="0">
                  <c:v>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Sheet1!$A$191:$A$202</c:f>
              <c:numCache/>
            </c:numRef>
          </c:xVal>
          <c:yVal>
            <c:numRef>
              <c:f>Sheet1!$L$191:$L$202</c:f>
              <c:numCache/>
            </c:numRef>
          </c:yVal>
          <c:smooth val="0"/>
        </c:ser>
        <c:axId val="38818871"/>
        <c:axId val="13825520"/>
      </c:scatterChart>
      <c:valAx>
        <c:axId val="26991389"/>
        <c:scaling>
          <c:orientation val="minMax"/>
          <c:max val="2002"/>
          <c:min val="19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95910"/>
        <c:crosses val="autoZero"/>
        <c:crossBetween val="midCat"/>
        <c:dispUnits/>
      </c:valAx>
      <c:valAx>
        <c:axId val="4159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1389"/>
        <c:crosses val="autoZero"/>
        <c:crossBetween val="midCat"/>
        <c:dispUnits/>
      </c:valAx>
      <c:valAx>
        <c:axId val="38818871"/>
        <c:scaling>
          <c:orientation val="minMax"/>
        </c:scaling>
        <c:axPos val="b"/>
        <c:delete val="1"/>
        <c:majorTickMark val="in"/>
        <c:minorTickMark val="none"/>
        <c:tickLblPos val="nextTo"/>
        <c:crossAx val="13825520"/>
        <c:crosses val="max"/>
        <c:crossBetween val="midCat"/>
        <c:dispUnits/>
      </c:val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8188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Mead NE, Varvel Rainfed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6"/>
          <c:w val="0.882"/>
          <c:h val="0.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Chk,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Sheet1!$A$28:$A$48</c:f>
              <c:numCache/>
            </c:numRef>
          </c:xVal>
          <c:yVal>
            <c:numRef>
              <c:f>Sheet1!$J$28:$J$48</c:f>
              <c:numCache/>
            </c:numRef>
          </c:y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Sheet1!$A$28:$A$48</c:f>
              <c:numCache/>
            </c:numRef>
          </c:xVal>
          <c:yVal>
            <c:numRef>
              <c:f>Sheet1!$K$28:$K$48</c:f>
              <c:numCache/>
            </c:numRef>
          </c:yVal>
          <c:smooth val="0"/>
        </c:ser>
        <c:axId val="60308097"/>
        <c:axId val="5901962"/>
      </c:scatterChart>
      <c:scatterChart>
        <c:scatterStyle val="lineMarker"/>
        <c:varyColors val="0"/>
        <c:ser>
          <c:idx val="2"/>
          <c:order val="2"/>
          <c:tx>
            <c:strRef>
              <c:f>Sheet1!$L$27</c:f>
              <c:strCache>
                <c:ptCount val="1"/>
                <c:pt idx="0">
                  <c:v>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Sheet1!$A$28:$A$48</c:f>
              <c:numCache/>
            </c:numRef>
          </c:xVal>
          <c:yVal>
            <c:numRef>
              <c:f>Sheet1!$L$28:$L$48</c:f>
              <c:numCache/>
            </c:numRef>
          </c:yVal>
          <c:smooth val="0"/>
        </c:ser>
        <c:axId val="53117659"/>
        <c:axId val="8296884"/>
      </c:scatterChart>
      <c:valAx>
        <c:axId val="60308097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crossBetween val="midCat"/>
        <c:dispUnits/>
      </c:valAx>
      <c:valAx>
        <c:axId val="5901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8097"/>
        <c:crosses val="autoZero"/>
        <c:crossBetween val="midCat"/>
        <c:dispUnits/>
      </c:valAx>
      <c:valAx>
        <c:axId val="53117659"/>
        <c:scaling>
          <c:orientation val="minMax"/>
        </c:scaling>
        <c:axPos val="b"/>
        <c:delete val="1"/>
        <c:majorTickMark val="in"/>
        <c:minorTickMark val="none"/>
        <c:tickLblPos val="nextTo"/>
        <c:crossAx val="8296884"/>
        <c:crosses val="max"/>
        <c:crossBetween val="midCat"/>
        <c:dispUnits/>
      </c:valAx>
      <c:valAx>
        <c:axId val="829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176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0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Ferguson, Clay Center NE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655"/>
          <c:w val="0.882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Sheet1!$J$101</c:f>
              <c:strCache>
                <c:ptCount val="1"/>
                <c:pt idx="0">
                  <c:v>Chk N up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Sheet1!$A$102:$A$115</c:f>
              <c:numCache/>
            </c:numRef>
          </c:xVal>
          <c:yVal>
            <c:numRef>
              <c:f>Sheet1!$J$102:$J$115</c:f>
              <c:numCache/>
            </c:numRef>
          </c:y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Sheet1!$A$102:$A$115</c:f>
              <c:numCache/>
            </c:numRef>
          </c:xVal>
          <c:yVal>
            <c:numRef>
              <c:f>Sheet1!$K$102:$K$115</c:f>
              <c:numCache/>
            </c:numRef>
          </c:yVal>
          <c:smooth val="0"/>
        </c:ser>
        <c:axId val="57320817"/>
        <c:axId val="46125306"/>
      </c:scatterChart>
      <c:scatterChart>
        <c:scatterStyle val="lineMarker"/>
        <c:varyColors val="0"/>
        <c:ser>
          <c:idx val="2"/>
          <c:order val="2"/>
          <c:tx>
            <c:strRef>
              <c:f>Sheet1!$L$59</c:f>
              <c:strCache>
                <c:ptCount val="1"/>
                <c:pt idx="0">
                  <c:v>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Sheet1!$A$102:$A$115</c:f>
              <c:numCache/>
            </c:numRef>
          </c:xVal>
          <c:yVal>
            <c:numRef>
              <c:f>Sheet1!$L$102:$L$115</c:f>
              <c:numCache/>
            </c:numRef>
          </c:yVal>
          <c:smooth val="0"/>
        </c:ser>
        <c:axId val="12474571"/>
        <c:axId val="45162276"/>
      </c:scatterChart>
      <c:valAx>
        <c:axId val="57320817"/>
        <c:scaling>
          <c:orientation val="minMax"/>
          <c:max val="2006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25306"/>
        <c:crosses val="autoZero"/>
        <c:crossBetween val="midCat"/>
        <c:dispUnits/>
      </c:valAx>
      <c:valAx>
        <c:axId val="4612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0817"/>
        <c:crosses val="autoZero"/>
        <c:crossBetween val="midCat"/>
        <c:dispUnits/>
      </c:valAx>
      <c:valAx>
        <c:axId val="12474571"/>
        <c:scaling>
          <c:orientation val="minMax"/>
        </c:scaling>
        <c:axPos val="b"/>
        <c:delete val="1"/>
        <c:majorTickMark val="in"/>
        <c:minorTickMark val="none"/>
        <c:tickLblPos val="nextTo"/>
        <c:crossAx val="45162276"/>
        <c:crosses val="max"/>
        <c:crossBetween val="midCat"/>
        <c:dispUnits/>
      </c:valAx>
      <c:valAx>
        <c:axId val="4516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4745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75"/>
          <c:y val="0.1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25"/>
          <c:w val="0.94375"/>
          <c:h val="0.911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Sheet1!$J$102:$J$115</c:f>
              <c:numCache/>
            </c:numRef>
          </c:xVal>
          <c:yVal>
            <c:numRef>
              <c:f>Sheet1!$L$102:$L$115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Sheet1!$J$83:$J$90</c:f>
              <c:numCache/>
            </c:numRef>
          </c:xVal>
          <c:yVal>
            <c:numRef>
              <c:f>Sheet1!$L$83:$L$90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Sheet1!$J$60:$J$72</c:f>
              <c:numCache/>
            </c:numRef>
          </c:xVal>
          <c:yVal>
            <c:numRef>
              <c:f>Sheet1!$L$60:$L$72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Sheet1!$J$28:$J$48</c:f>
              <c:numCache/>
            </c:numRef>
          </c:xVal>
          <c:yVal>
            <c:numRef>
              <c:f>Sheet1!$L$28:$L$48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Sheet1!$J$6:$J$20</c:f>
              <c:numCache/>
            </c:numRef>
          </c:xVal>
          <c:yVal>
            <c:numRef>
              <c:f>Sheet1!$L$6:$L$20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Sheet1!$J$123:$J$159</c:f>
              <c:numCache/>
            </c:numRef>
          </c:xVal>
          <c:yVal>
            <c:numRef>
              <c:f>Sheet1!$L$123:$L$159</c:f>
              <c:numCache/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Sheet1!$J$171:$J$187</c:f>
              <c:numCache/>
            </c:numRef>
          </c:xVal>
          <c:yVal>
            <c:numRef>
              <c:f>Sheet1!$L$171:$L$187</c:f>
              <c:numCache/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Sheet1!$J$191:$J$202</c:f>
              <c:numCache/>
            </c:numRef>
          </c:xVal>
          <c:yVal>
            <c:numRef>
              <c:f>Sheet1!$L$191:$L$202</c:f>
              <c:numCache/>
            </c:numRef>
          </c:yVal>
          <c:smooth val="0"/>
        </c:ser>
        <c:axId val="3807301"/>
        <c:axId val="34265710"/>
      </c:scatterChart>
      <c:val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Check,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65710"/>
        <c:crosses val="autoZero"/>
        <c:crossBetween val="midCat"/>
        <c:dispUnits/>
      </c:valAx>
      <c:valAx>
        <c:axId val="342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Difference,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7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0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25"/>
          <c:w val="0.94375"/>
          <c:h val="0.911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Sheet1!$J$102:$J$115</c:f>
              <c:numCache/>
            </c:numRef>
          </c:xVal>
          <c:yVal>
            <c:numRef>
              <c:f>Sheet1!$G$102:$G$115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Sheet1!$J$83:$J$90</c:f>
              <c:numCache/>
            </c:numRef>
          </c:xVal>
          <c:yVal>
            <c:numRef>
              <c:f>Sheet1!$G$83:$G$90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Sheet1!$J$60:$J$72</c:f>
              <c:numCache/>
            </c:numRef>
          </c:xVal>
          <c:yVal>
            <c:numRef>
              <c:f>Sheet1!$G$60:$G$72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Sheet1!$J$28:$J$48</c:f>
              <c:numCache/>
            </c:numRef>
          </c:xVal>
          <c:yVal>
            <c:numRef>
              <c:f>Sheet1!$G$28:$G$48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Sheet1!$J$6:$J$20</c:f>
              <c:numCache/>
            </c:numRef>
          </c:xVal>
          <c:yVal>
            <c:numRef>
              <c:f>Sheet1!$G$6:$G$20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Sheet1!$J$123:$J$159</c:f>
              <c:numCache/>
            </c:numRef>
          </c:xVal>
          <c:yVal>
            <c:numRef>
              <c:f>Sheet1!$G$123:$G$159</c:f>
              <c:numCache/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Sheet1!$J$171:$J$187</c:f>
              <c:numCache/>
            </c:numRef>
          </c:xVal>
          <c:yVal>
            <c:numRef>
              <c:f>Sheet1!$G$171:$G$187</c:f>
              <c:numCache/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Sheet1!$J$191:$J$202</c:f>
              <c:numCache/>
            </c:numRef>
          </c:xVal>
          <c:yVal>
            <c:numRef>
              <c:f>Sheet1!$G$191:$G$202</c:f>
              <c:numCache/>
            </c:numRef>
          </c:yVal>
          <c:smooth val="0"/>
        </c:ser>
        <c:axId val="39955935"/>
        <c:axId val="24059096"/>
      </c:scatterChart>
      <c:valAx>
        <c:axId val="3995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Check,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59096"/>
        <c:crosses val="autoZero"/>
        <c:crossBetween val="midCat"/>
        <c:dispUnits/>
      </c:valAx>
      <c:valAx>
        <c:axId val="2405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Max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55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4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Sheet2!$S$5</c:f>
              <c:strCache>
                <c:ptCount val="1"/>
                <c:pt idx="0">
                  <c:v>Prev RI * Prev Yld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numFmt formatCode="General"/>
            </c:trendlineLbl>
          </c:trendline>
          <c:xVal>
            <c:numRef>
              <c:f>Sheet2!$R$6:$R$142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xVal>
          <c:yVal>
            <c:numRef>
              <c:f>Sheet2!$S$6:$S$142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0"/>
        </c:ser>
        <c:axId val="15205273"/>
        <c:axId val="2629730"/>
      </c:scatterChart>
      <c:valAx>
        <c:axId val="15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9730"/>
        <c:crosses val="autoZero"/>
        <c:crossBetween val="midCat"/>
        <c:dispUnits/>
      </c:valAx>
      <c:valAx>
        <c:axId val="262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Prev RI * Prev Yld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05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Shelton, NE, Varvel Irrigated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575"/>
          <c:w val="0.8822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Chk,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Sheet1!$A$60:$A$72</c:f>
              <c:numCache/>
            </c:numRef>
          </c:xVal>
          <c:yVal>
            <c:numRef>
              <c:f>Sheet1!$J$60:$J$72</c:f>
              <c:numCache/>
            </c:numRef>
          </c:y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Sheet1!$A$60:$A$72</c:f>
              <c:numCache/>
            </c:numRef>
          </c:xVal>
          <c:yVal>
            <c:numRef>
              <c:f>Sheet1!$K$60:$K$72</c:f>
              <c:numCache/>
            </c:numRef>
          </c:yVal>
          <c:smooth val="0"/>
        </c:ser>
        <c:axId val="7563093"/>
        <c:axId val="958974"/>
      </c:scatterChart>
      <c:scatterChart>
        <c:scatterStyle val="lineMarker"/>
        <c:varyColors val="0"/>
        <c:ser>
          <c:idx val="2"/>
          <c:order val="2"/>
          <c:tx>
            <c:strRef>
              <c:f>Sheet1!$L$59</c:f>
              <c:strCache>
                <c:ptCount val="1"/>
                <c:pt idx="0">
                  <c:v>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Sheet1!$A$60:$A$72</c:f>
              <c:numCache/>
            </c:numRef>
          </c:xVal>
          <c:yVal>
            <c:numRef>
              <c:f>Sheet1!$L$60:$L$72</c:f>
              <c:numCache/>
            </c:numRef>
          </c:yVal>
          <c:smooth val="0"/>
        </c:ser>
        <c:axId val="8630767"/>
        <c:axId val="10568040"/>
      </c:scatterChart>
      <c:valAx>
        <c:axId val="756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crossBetween val="midCat"/>
        <c:dispUnits/>
      </c:valAx>
      <c:valAx>
        <c:axId val="95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crossBetween val="midCat"/>
        <c:dispUnits/>
      </c:valAx>
      <c:valAx>
        <c:axId val="8630767"/>
        <c:scaling>
          <c:orientation val="minMax"/>
        </c:scaling>
        <c:axPos val="b"/>
        <c:delete val="1"/>
        <c:majorTickMark val="in"/>
        <c:minorTickMark val="none"/>
        <c:tickLblPos val="nextTo"/>
        <c:crossAx val="10568040"/>
        <c:crosses val="max"/>
        <c:crossBetween val="midCat"/>
        <c:dispUnits/>
      </c:valAx>
      <c:valAx>
        <c:axId val="10568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307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Wooster, OH, Mullen Rainfed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6575"/>
          <c:w val="0.8822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Sheet1!$J$82</c:f>
              <c:strCache>
                <c:ptCount val="1"/>
                <c:pt idx="0">
                  <c:v>40N,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Sheet1!$A$83:$A$90</c:f>
              <c:numCache/>
            </c:numRef>
          </c:xVal>
          <c:yVal>
            <c:numRef>
              <c:f>Sheet1!$J$83:$J$90</c:f>
              <c:numCache/>
            </c:numRef>
          </c:y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Sheet1!$A$83:$A$90</c:f>
              <c:numCache/>
            </c:numRef>
          </c:xVal>
          <c:yVal>
            <c:numRef>
              <c:f>Sheet1!$K$83:$K$90</c:f>
              <c:numCache/>
            </c:numRef>
          </c:yVal>
          <c:smooth val="0"/>
        </c:ser>
        <c:axId val="28003497"/>
        <c:axId val="50704882"/>
      </c:scatterChart>
      <c:scatterChart>
        <c:scatterStyle val="lineMarker"/>
        <c:varyColors val="0"/>
        <c:ser>
          <c:idx val="2"/>
          <c:order val="2"/>
          <c:tx>
            <c:strRef>
              <c:f>Sheet1!$L$59</c:f>
              <c:strCache>
                <c:ptCount val="1"/>
                <c:pt idx="0">
                  <c:v>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Sheet1!$A$83:$A$90</c:f>
              <c:numCache/>
            </c:numRef>
          </c:xVal>
          <c:yVal>
            <c:numRef>
              <c:f>Sheet1!$L$83:$L$90</c:f>
              <c:numCache/>
            </c:numRef>
          </c:yVal>
          <c:smooth val="0"/>
        </c:ser>
        <c:axId val="53690755"/>
        <c:axId val="13454748"/>
      </c:scatterChart>
      <c:val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4882"/>
        <c:crosses val="autoZero"/>
        <c:crossBetween val="midCat"/>
        <c:dispUnits/>
      </c:valAx>
      <c:valAx>
        <c:axId val="507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3497"/>
        <c:crosses val="autoZero"/>
        <c:crossBetween val="midCat"/>
        <c:dispUnits/>
      </c:valAx>
      <c:valAx>
        <c:axId val="53690755"/>
        <c:scaling>
          <c:orientation val="minMax"/>
        </c:scaling>
        <c:axPos val="b"/>
        <c:delete val="1"/>
        <c:majorTickMark val="in"/>
        <c:minorTickMark val="none"/>
        <c:tickLblPos val="nextTo"/>
        <c:crossAx val="13454748"/>
        <c:crosses val="max"/>
        <c:crossBetween val="midCat"/>
        <c:dispUnits/>
      </c:valAx>
      <c:valAx>
        <c:axId val="1345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6907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6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"/>
          <c:w val="0.9415"/>
          <c:h val="0.9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RCRS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Sheet1!$J$6:$J$20</c:f>
              <c:numCache/>
            </c:numRef>
          </c:xVal>
          <c:yVal>
            <c:numRef>
              <c:f>Sheet1!$I$6:$I$20</c:f>
              <c:numCache/>
            </c:numRef>
          </c:yVal>
          <c:smooth val="0"/>
        </c:ser>
        <c:ser>
          <c:idx val="1"/>
          <c:order val="1"/>
          <c:tx>
            <c:strRef>
              <c:f>Sheet1!$I$27</c:f>
              <c:strCache>
                <c:ptCount val="1"/>
                <c:pt idx="0">
                  <c:v>Varvel, Mead Rainfed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Sheet1!$J$28:$J$48</c:f>
              <c:numCache/>
            </c:numRef>
          </c:xVal>
          <c:yVal>
            <c:numRef>
              <c:f>Sheet1!$I$28:$I$48</c:f>
              <c:numCache/>
            </c:numRef>
          </c:yVal>
          <c:smooth val="0"/>
        </c:ser>
        <c:ser>
          <c:idx val="2"/>
          <c:order val="2"/>
          <c:tx>
            <c:strRef>
              <c:f>Sheet1!$I$59</c:f>
              <c:strCache>
                <c:ptCount val="1"/>
                <c:pt idx="0">
                  <c:v>Varvel, Shelton, Irrig.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Sheet1!$J$60:$J$72</c:f>
              <c:numCache/>
            </c:numRef>
          </c:xVal>
          <c:yVal>
            <c:numRef>
              <c:f>Sheet1!$I$60:$I$72</c:f>
              <c:numCache/>
            </c:numRef>
          </c:yVal>
          <c:smooth val="0"/>
        </c:ser>
        <c:ser>
          <c:idx val="3"/>
          <c:order val="3"/>
          <c:tx>
            <c:strRef>
              <c:f>Sheet1!$I$82</c:f>
              <c:strCache>
                <c:ptCount val="1"/>
                <c:pt idx="0">
                  <c:v>Mullen, Ohio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Sheet1!$J$83:$J$90</c:f>
              <c:numCache/>
            </c:numRef>
          </c:xVal>
          <c:yVal>
            <c:numRef>
              <c:f>Sheet1!$I$83:$I$90</c:f>
              <c:numCache/>
            </c:numRef>
          </c:yVal>
          <c:smooth val="0"/>
        </c:ser>
        <c:ser>
          <c:idx val="4"/>
          <c:order val="4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(Sheet1!$J$6:$J$20,Sheet1!$J$28:$J$48,Sheet1!$J$60:$J$72,Sheet1!$J$83:$J$90)</c:f>
              <c:numCache/>
            </c:numRef>
          </c:xVal>
          <c:yVal>
            <c:numRef>
              <c:f>(Sheet1!$I$6:$I$20,Sheet1!$I$28:$I$48,Sheet1!$I$60:$I$72,Sheet1!$I$83:$I$90)</c:f>
              <c:numCache/>
            </c:numRef>
          </c:yVal>
          <c:smooth val="0"/>
        </c:ser>
        <c:ser>
          <c:idx val="5"/>
          <c:order val="5"/>
          <c:tx>
            <c:v>Ferguson,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Sheet1!$J$102:$J$115</c:f>
              <c:numCache/>
            </c:numRef>
          </c:xVal>
          <c:yVal>
            <c:numRef>
              <c:f>Sheet1!$I$102:$I$115</c:f>
              <c:numCache/>
            </c:numRef>
          </c:yVal>
          <c:smooth val="0"/>
        </c:ser>
        <c:ser>
          <c:idx val="6"/>
          <c:order val="6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Sheet1!$J$123:$J$159</c:f>
              <c:numCache/>
            </c:numRef>
          </c:xVal>
          <c:yVal>
            <c:numRef>
              <c:f>Sheet1!$I$123:$I$159</c:f>
              <c:numCache/>
            </c:numRef>
          </c:yVal>
          <c:smooth val="0"/>
        </c:ser>
        <c:ser>
          <c:idx val="7"/>
          <c:order val="7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Sheet1!$J$171:$J$187</c:f>
              <c:numCache/>
            </c:numRef>
          </c:xVal>
          <c:yVal>
            <c:numRef>
              <c:f>Sheet1!$I$171:$I$187</c:f>
              <c:numCache/>
            </c:numRef>
          </c:yVal>
          <c:smooth val="0"/>
        </c:ser>
        <c:ser>
          <c:idx val="8"/>
          <c:order val="8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Sheet1!$J$191:$J$202</c:f>
              <c:numCache/>
            </c:numRef>
          </c:xVal>
          <c:yVal>
            <c:numRef>
              <c:f>Sheet1!$I$191:$I$202</c:f>
              <c:numCache/>
            </c:numRef>
          </c:yVal>
          <c:smooth val="0"/>
        </c:ser>
        <c:axId val="53983869"/>
        <c:axId val="16092774"/>
      </c:scatterChart>
      <c:valAx>
        <c:axId val="5398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 uptake Check Plot,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crossBetween val="midCat"/>
        <c:dispUnits/>
      </c:valAx>
      <c:valAx>
        <c:axId val="1609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Maximum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83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275"/>
          <c:y val="0.4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25"/>
          <c:w val="0.942"/>
          <c:h val="0.9087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Sheet1!$M$102:$M$115</c:f>
              <c:numCache/>
            </c:numRef>
          </c:xVal>
          <c:yVal>
            <c:numRef>
              <c:f>Sheet1!$N$102:$N$115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Sheet1!$M$83:$M$90</c:f>
              <c:numCache/>
            </c:numRef>
          </c:xVal>
          <c:yVal>
            <c:numRef>
              <c:f>Sheet1!$N$83:$N$90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Sheet1!$M$60:$M$72</c:f>
              <c:numCache/>
            </c:numRef>
          </c:xVal>
          <c:yVal>
            <c:numRef>
              <c:f>Sheet1!$N$60:$N$72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Sheet1!$M$28:$M$48</c:f>
              <c:numCache/>
            </c:numRef>
          </c:xVal>
          <c:yVal>
            <c:numRef>
              <c:f>Sheet1!$N$28:$N$48</c:f>
              <c:numCache/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Sheet1!$M$6:$M$20</c:f>
              <c:numCache/>
            </c:numRef>
          </c:xVal>
          <c:yVal>
            <c:numRef>
              <c:f>Sheet1!$N$6:$N$20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Sheet1!$M$123:$M$159</c:f>
              <c:numCache/>
            </c:numRef>
          </c:xVal>
          <c:yVal>
            <c:numRef>
              <c:f>Sheet1!$N$123:$N$159</c:f>
              <c:numCache/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Sheet1!$M$171:$M$187</c:f>
              <c:numCache/>
            </c:numRef>
          </c:xVal>
          <c:yVal>
            <c:numRef>
              <c:f>Sheet1!$N$171:$N$187</c:f>
              <c:numCache/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Sheet1!$M$191:$M$202</c:f>
              <c:numCache/>
            </c:numRef>
          </c:xVal>
          <c:yVal>
            <c:numRef>
              <c:f>Sheet1!$N$191:$N$202</c:f>
              <c:numCache/>
            </c:numRef>
          </c:yVal>
          <c:smooth val="0"/>
        </c:ser>
        <c:axId val="10617239"/>
        <c:axId val="28446288"/>
      </c:scatterChart>
      <c:val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46288"/>
        <c:crosses val="autoZero"/>
        <c:crossBetween val="midCat"/>
        <c:dispUnits/>
      </c:valAx>
      <c:valAx>
        <c:axId val="2844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Check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7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0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3"/>
          <c:w val="0.95225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RCRS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Sheet1!$N$6:$N$20</c:f>
              <c:numCache/>
            </c:numRef>
          </c:xVal>
          <c:yVal>
            <c:numRef>
              <c:f>Sheet1!$I$6:$I$20</c:f>
              <c:numCache/>
            </c:numRef>
          </c:yVal>
          <c:smooth val="0"/>
        </c:ser>
        <c:ser>
          <c:idx val="1"/>
          <c:order val="1"/>
          <c:tx>
            <c:strRef>
              <c:f>Sheet1!$I$27</c:f>
              <c:strCache>
                <c:ptCount val="1"/>
                <c:pt idx="0">
                  <c:v>Varvel, Mead Rainfed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Sheet1!$N$28:$N$48</c:f>
              <c:numCache/>
            </c:numRef>
          </c:xVal>
          <c:yVal>
            <c:numRef>
              <c:f>Sheet1!$I$28:$I$48</c:f>
              <c:numCache/>
            </c:numRef>
          </c:yVal>
          <c:smooth val="0"/>
        </c:ser>
        <c:ser>
          <c:idx val="2"/>
          <c:order val="2"/>
          <c:tx>
            <c:strRef>
              <c:f>Sheet1!$I$59</c:f>
              <c:strCache>
                <c:ptCount val="1"/>
                <c:pt idx="0">
                  <c:v>Varvel, Shelton, Irrig.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Sheet1!$N$60:$N$72</c:f>
              <c:numCache/>
            </c:numRef>
          </c:xVal>
          <c:yVal>
            <c:numRef>
              <c:f>Sheet1!$I$60:$I$72</c:f>
              <c:numCache/>
            </c:numRef>
          </c:yVal>
          <c:smooth val="0"/>
        </c:ser>
        <c:ser>
          <c:idx val="3"/>
          <c:order val="3"/>
          <c:tx>
            <c:strRef>
              <c:f>Sheet1!$I$82</c:f>
              <c:strCache>
                <c:ptCount val="1"/>
                <c:pt idx="0">
                  <c:v>Mullen, Ohio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Sheet1!$N$83:$N$90</c:f>
              <c:numCache/>
            </c:numRef>
          </c:xVal>
          <c:yVal>
            <c:numRef>
              <c:f>Sheet1!$I$83:$I$90</c:f>
              <c:numCache/>
            </c:numRef>
          </c:yVal>
          <c:smooth val="0"/>
        </c:ser>
        <c:ser>
          <c:idx val="4"/>
          <c:order val="4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(Sheet1!$J$6:$J$20,Sheet1!$J$28:$J$48,Sheet1!$J$60:$J$72,Sheet1!$J$83:$J$90)</c:f>
              <c:numCache/>
            </c:numRef>
          </c:xVal>
          <c:yVal>
            <c:numRef>
              <c:f>(Sheet1!$I$6:$I$20,Sheet1!$I$28:$I$48,Sheet1!$I$60:$I$72,Sheet1!$I$83:$I$90)</c:f>
              <c:numCache/>
            </c:numRef>
          </c:yVal>
          <c:smooth val="0"/>
        </c:ser>
        <c:ser>
          <c:idx val="5"/>
          <c:order val="5"/>
          <c:tx>
            <c:v>Ferguson,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Sheet1!$N$102:$N$115</c:f>
              <c:numCache/>
            </c:numRef>
          </c:xVal>
          <c:yVal>
            <c:numRef>
              <c:f>Sheet1!$I$102:$I$115</c:f>
              <c:numCache/>
            </c:numRef>
          </c:yVal>
          <c:smooth val="0"/>
        </c:ser>
        <c:ser>
          <c:idx val="6"/>
          <c:order val="6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Sheet1!$N$123:$N$159</c:f>
              <c:numCache/>
            </c:numRef>
          </c:xVal>
          <c:yVal>
            <c:numRef>
              <c:f>Sheet1!$I$123:$I$159</c:f>
              <c:numCache/>
            </c:numRef>
          </c:yVal>
          <c:smooth val="0"/>
        </c:ser>
        <c:ser>
          <c:idx val="7"/>
          <c:order val="7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Sheet1!$N$171:$N$187</c:f>
              <c:numCache/>
            </c:numRef>
          </c:xVal>
          <c:yVal>
            <c:numRef>
              <c:f>Sheet1!$I$171:$I$187</c:f>
              <c:numCache/>
            </c:numRef>
          </c:yVal>
          <c:smooth val="0"/>
        </c:ser>
        <c:ser>
          <c:idx val="8"/>
          <c:order val="8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Sheet1!$N$191:$N$202</c:f>
              <c:numCache/>
            </c:numRef>
          </c:xVal>
          <c:yVal>
            <c:numRef>
              <c:f>Sheet1!$I$191:$I$202</c:f>
              <c:numCache/>
            </c:numRef>
          </c:yVal>
          <c:smooth val="0"/>
        </c:ser>
        <c:axId val="54690001"/>
        <c:axId val="22447962"/>
      </c:scatterChart>
      <c:val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Check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7962"/>
        <c:crosses val="autoZero"/>
        <c:crossBetween val="midCat"/>
        <c:dispUnits/>
      </c:valAx>
      <c:valAx>
        <c:axId val="224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Maximum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0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4375"/>
          <c:y val="0.4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9"/>
          <c:w val="0.94375"/>
          <c:h val="0.9112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Sheet1!$M$102:$M$115</c:f>
              <c:numCache/>
            </c:numRef>
          </c:xVal>
          <c:yVal>
            <c:numRef>
              <c:f>Sheet1!$H$102:$H$115</c:f>
              <c:numCache/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Sheet1!$M$83:$M$90</c:f>
              <c:numCache/>
            </c:numRef>
          </c:xVal>
          <c:yVal>
            <c:numRef>
              <c:f>Sheet1!$H$83:$H$90</c:f>
              <c:numCache/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Sheet1!$M$60:$M$72</c:f>
              <c:numCache/>
            </c:numRef>
          </c:xVal>
          <c:yVal>
            <c:numRef>
              <c:f>Sheet1!$H$60:$H$72</c:f>
              <c:numCache/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Sheet1!$M$28:$M$48</c:f>
              <c:numCache/>
            </c:numRef>
          </c:xVal>
          <c:yVal>
            <c:numRef>
              <c:f>Sheet1!$H$28:$H$48</c:f>
              <c:numCache/>
            </c:numRef>
          </c:yVal>
          <c:smooth val="0"/>
        </c:ser>
        <c:ser>
          <c:idx val="5"/>
          <c:order val="4"/>
          <c:tx>
            <c:v>Prof Olson, Mead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Sheet1!$M$6:$M$20</c:f>
              <c:numCache/>
            </c:numRef>
          </c:xVal>
          <c:yVal>
            <c:numRef>
              <c:f>Sheet1!$H$6:$H$20</c:f>
              <c:numCache/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Sheet1!$M$123:$M$144</c:f>
              <c:numCache/>
            </c:numRef>
          </c:xVal>
          <c:yVal>
            <c:numRef>
              <c:f>Sheet1!$H$123:$H$144</c:f>
              <c:numCache/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Sheet1!$M$171:$M$187</c:f>
              <c:numCache/>
            </c:numRef>
          </c:xVal>
          <c:yVal>
            <c:numRef>
              <c:f>Sheet1!$H$171:$H$187</c:f>
              <c:numCache/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Sheet1!$M$191:$M$202</c:f>
              <c:numCache/>
            </c:numRef>
          </c:xVal>
          <c:yVal>
            <c:numRef>
              <c:f>Sheet1!$H$191:$H$202</c:f>
              <c:numCache/>
            </c:numRef>
          </c:yVal>
          <c:smooth val="0"/>
        </c:ser>
        <c:axId val="705067"/>
        <c:axId val="6345604"/>
      </c:scatterChart>
      <c:val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604"/>
        <c:crosses val="autoZero"/>
        <c:crossBetween val="midCat"/>
        <c:dispUnits/>
      </c:val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Check, % of Max Yld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50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0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435"/>
          <c:h val="0.93225"/>
        </c:manualLayout>
      </c:layout>
      <c:scatterChart>
        <c:scatterStyle val="lineMarker"/>
        <c:varyColors val="0"/>
        <c:ser>
          <c:idx val="1"/>
          <c:order val="0"/>
          <c:tx>
            <c:v>Ferguson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Sheet1!$L$102:$L$115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Sheet1!$H$102:$H$115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Mullen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Sheet1!$L$83:$L$90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Sheet1!$H$83:$H$90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Varvel Irrigated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Sheet1!$L$60:$L$72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Sheet1!$H$60:$H$72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Varvel Rainfed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Sheet1!$L$28:$L$48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Sheet1!$H$28:$H$48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Mead Prof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Sheet1!$L$6:$L$20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Sheet1!$H$6:$H$20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0"/>
          <c:order val="5"/>
          <c:tx>
            <c:v>Bundy, WI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Sheet1!$L$123:$L$159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Sheet1!$H$123:$H$159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Randall, C aft. 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Sheet1!$L$171:$L$187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Sheet1!$H$171:$H$187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Randall, Cont. Corn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Sheet1!$L$191:$L$202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Sheet1!$H$191:$H$202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7110437"/>
        <c:axId val="44231886"/>
      </c:scatterChart>
      <c:val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uptake difference, lb/ac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31886"/>
        <c:crosses val="autoZero"/>
        <c:crossBetween val="midCat"/>
        <c:dispUnits/>
      </c:valAx>
      <c:valAx>
        <c:axId val="4423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Check, % of Max Yield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0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0.62775</cdr:y>
    </cdr:from>
    <cdr:to>
      <cdr:x>0.5555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1943100"/>
          <a:ext cx="1724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   38     NUE Min  30 
Max  76     NUE Max 76
Avg. 54     180 lb N/ac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54</xdr:row>
      <xdr:rowOff>0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5429250" y="8743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104775</xdr:colOff>
      <xdr:row>4</xdr:row>
      <xdr:rowOff>104775</xdr:rowOff>
    </xdr:from>
    <xdr:to>
      <xdr:col>34</xdr:col>
      <xdr:colOff>419100</xdr:colOff>
      <xdr:row>33</xdr:row>
      <xdr:rowOff>19050</xdr:rowOff>
    </xdr:to>
    <xdr:graphicFrame>
      <xdr:nvGraphicFramePr>
        <xdr:cNvPr id="2" name="Chart 3"/>
        <xdr:cNvGraphicFramePr/>
      </xdr:nvGraphicFramePr>
      <xdr:xfrm>
        <a:off x="14916150" y="752475"/>
        <a:ext cx="58007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0.7025</cdr:x>
      <cdr:y>0.739</cdr:y>
    </cdr:from>
    <cdr:to>
      <cdr:x>0.9385</cdr:x>
      <cdr:y>0.9185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2295525"/>
          <a:ext cx="1200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   34
Max  90
Avg. 62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0.25275</cdr:x>
      <cdr:y>0.62325</cdr:y>
    </cdr:from>
    <cdr:to>
      <cdr:x>0.62725</cdr:x>
      <cdr:y>0.80525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1943100"/>
          <a:ext cx="19050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   42             NUE Min  11
Max  106           NUE Max 56
Avg. 78             180 lb N/ac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0.6405</cdr:y>
    </cdr:from>
    <cdr:to>
      <cdr:x>0.427</cdr:x>
      <cdr:y>0.82275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000250"/>
          <a:ext cx="15621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   26          NUE Min   17
Max  100        NUE Max  61
Avg. 56          180 lb N/ac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0.14625</cdr:y>
    </cdr:from>
    <cdr:to>
      <cdr:x>0.2865</cdr:x>
      <cdr:y>0.3285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457200"/>
          <a:ext cx="6477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   28
Max  122
Avg. 77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0.14475</cdr:y>
    </cdr:from>
    <cdr:to>
      <cdr:x>0.442</cdr:x>
      <cdr:y>0.3255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4476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   26          NUE Min   17
Max  110        NUE Max  81
Avg. 64          125 lb N/ac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0.34275</cdr:x>
      <cdr:y>0.47675</cdr:y>
    </cdr:from>
    <cdr:to>
      <cdr:x>0.644</cdr:x>
      <cdr:y>0.659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1495425"/>
          <a:ext cx="15430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   63         NUE Min   27
Max  100       NUE Max  52
Avg. 81          180 lb N/ac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0.64075</cdr:y>
    </cdr:from>
    <cdr:to>
      <cdr:x>0.42225</cdr:x>
      <cdr:y>0.823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009775"/>
          <a:ext cx="15430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   40          NUE Min   27
Max  108        NUE Max  81
Avg. 72          134 lb N/ac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5</xdr:row>
      <xdr:rowOff>104775</xdr:rowOff>
    </xdr:from>
    <xdr:to>
      <xdr:col>24</xdr:col>
      <xdr:colOff>533400</xdr:colOff>
      <xdr:row>21</xdr:row>
      <xdr:rowOff>161925</xdr:rowOff>
    </xdr:to>
    <xdr:graphicFrame>
      <xdr:nvGraphicFramePr>
        <xdr:cNvPr id="1" name="Chart 16"/>
        <xdr:cNvGraphicFramePr/>
      </xdr:nvGraphicFramePr>
      <xdr:xfrm>
        <a:off x="10239375" y="1028700"/>
        <a:ext cx="43529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285750</xdr:colOff>
      <xdr:row>26</xdr:row>
      <xdr:rowOff>85725</xdr:rowOff>
    </xdr:from>
    <xdr:to>
      <xdr:col>25</xdr:col>
      <xdr:colOff>571500</xdr:colOff>
      <xdr:row>45</xdr:row>
      <xdr:rowOff>123825</xdr:rowOff>
    </xdr:to>
    <xdr:graphicFrame>
      <xdr:nvGraphicFramePr>
        <xdr:cNvPr id="2" name="Chart 17"/>
        <xdr:cNvGraphicFramePr/>
      </xdr:nvGraphicFramePr>
      <xdr:xfrm>
        <a:off x="10277475" y="4953000"/>
        <a:ext cx="50863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276225</xdr:colOff>
      <xdr:row>49</xdr:row>
      <xdr:rowOff>9525</xdr:rowOff>
    </xdr:from>
    <xdr:to>
      <xdr:col>25</xdr:col>
      <xdr:colOff>571500</xdr:colOff>
      <xdr:row>68</xdr:row>
      <xdr:rowOff>57150</xdr:rowOff>
    </xdr:to>
    <xdr:graphicFrame>
      <xdr:nvGraphicFramePr>
        <xdr:cNvPr id="3" name="Chart 18"/>
        <xdr:cNvGraphicFramePr/>
      </xdr:nvGraphicFramePr>
      <xdr:xfrm>
        <a:off x="10267950" y="8601075"/>
        <a:ext cx="50958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114300</xdr:colOff>
      <xdr:row>77</xdr:row>
      <xdr:rowOff>85725</xdr:rowOff>
    </xdr:from>
    <xdr:ext cx="76200" cy="200025"/>
    <xdr:sp>
      <xdr:nvSpPr>
        <xdr:cNvPr id="4" name="TextBox 19"/>
        <xdr:cNvSpPr txBox="1">
          <a:spLocks noChangeArrowheads="1"/>
        </xdr:cNvSpPr>
      </xdr:nvSpPr>
      <xdr:spPr>
        <a:xfrm>
          <a:off x="5400675" y="1321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428625</xdr:colOff>
      <xdr:row>81</xdr:row>
      <xdr:rowOff>57150</xdr:rowOff>
    </xdr:from>
    <xdr:to>
      <xdr:col>25</xdr:col>
      <xdr:colOff>733425</xdr:colOff>
      <xdr:row>100</xdr:row>
      <xdr:rowOff>114300</xdr:rowOff>
    </xdr:to>
    <xdr:graphicFrame>
      <xdr:nvGraphicFramePr>
        <xdr:cNvPr id="5" name="Chart 20"/>
        <xdr:cNvGraphicFramePr/>
      </xdr:nvGraphicFramePr>
      <xdr:xfrm>
        <a:off x="10420350" y="13830300"/>
        <a:ext cx="51054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257175</xdr:colOff>
      <xdr:row>24</xdr:row>
      <xdr:rowOff>9525</xdr:rowOff>
    </xdr:from>
    <xdr:to>
      <xdr:col>25</xdr:col>
      <xdr:colOff>609600</xdr:colOff>
      <xdr:row>48</xdr:row>
      <xdr:rowOff>9525</xdr:rowOff>
    </xdr:to>
    <xdr:graphicFrame>
      <xdr:nvGraphicFramePr>
        <xdr:cNvPr id="6" name="Chart 21"/>
        <xdr:cNvGraphicFramePr/>
      </xdr:nvGraphicFramePr>
      <xdr:xfrm>
        <a:off x="10248900" y="4552950"/>
        <a:ext cx="5153025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266700</xdr:colOff>
      <xdr:row>100</xdr:row>
      <xdr:rowOff>38100</xdr:rowOff>
    </xdr:from>
    <xdr:to>
      <xdr:col>36</xdr:col>
      <xdr:colOff>561975</xdr:colOff>
      <xdr:row>128</xdr:row>
      <xdr:rowOff>76200</xdr:rowOff>
    </xdr:to>
    <xdr:graphicFrame>
      <xdr:nvGraphicFramePr>
        <xdr:cNvPr id="7" name="Chart 23"/>
        <xdr:cNvGraphicFramePr/>
      </xdr:nvGraphicFramePr>
      <xdr:xfrm>
        <a:off x="15973425" y="16887825"/>
        <a:ext cx="647700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476250</xdr:colOff>
      <xdr:row>15</xdr:row>
      <xdr:rowOff>95250</xdr:rowOff>
    </xdr:from>
    <xdr:to>
      <xdr:col>37</xdr:col>
      <xdr:colOff>161925</xdr:colOff>
      <xdr:row>41</xdr:row>
      <xdr:rowOff>133350</xdr:rowOff>
    </xdr:to>
    <xdr:graphicFrame>
      <xdr:nvGraphicFramePr>
        <xdr:cNvPr id="8" name="Chart 24"/>
        <xdr:cNvGraphicFramePr/>
      </xdr:nvGraphicFramePr>
      <xdr:xfrm>
        <a:off x="16182975" y="2924175"/>
        <a:ext cx="6477000" cy="4505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647700</xdr:colOff>
      <xdr:row>130</xdr:row>
      <xdr:rowOff>152400</xdr:rowOff>
    </xdr:from>
    <xdr:to>
      <xdr:col>36</xdr:col>
      <xdr:colOff>38100</xdr:colOff>
      <xdr:row>159</xdr:row>
      <xdr:rowOff>38100</xdr:rowOff>
    </xdr:to>
    <xdr:graphicFrame>
      <xdr:nvGraphicFramePr>
        <xdr:cNvPr id="9" name="Chart 25"/>
        <xdr:cNvGraphicFramePr/>
      </xdr:nvGraphicFramePr>
      <xdr:xfrm>
        <a:off x="15440025" y="21859875"/>
        <a:ext cx="6486525" cy="4581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381000</xdr:colOff>
      <xdr:row>218</xdr:row>
      <xdr:rowOff>38100</xdr:rowOff>
    </xdr:from>
    <xdr:to>
      <xdr:col>27</xdr:col>
      <xdr:colOff>466725</xdr:colOff>
      <xdr:row>246</xdr:row>
      <xdr:rowOff>95250</xdr:rowOff>
    </xdr:to>
    <xdr:graphicFrame>
      <xdr:nvGraphicFramePr>
        <xdr:cNvPr id="10" name="Chart 26"/>
        <xdr:cNvGraphicFramePr/>
      </xdr:nvGraphicFramePr>
      <xdr:xfrm>
        <a:off x="10372725" y="35994975"/>
        <a:ext cx="6496050" cy="4591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36</xdr:col>
      <xdr:colOff>428625</xdr:colOff>
      <xdr:row>100</xdr:row>
      <xdr:rowOff>47625</xdr:rowOff>
    </xdr:from>
    <xdr:to>
      <xdr:col>47</xdr:col>
      <xdr:colOff>209550</xdr:colOff>
      <xdr:row>128</xdr:row>
      <xdr:rowOff>95250</xdr:rowOff>
    </xdr:to>
    <xdr:graphicFrame>
      <xdr:nvGraphicFramePr>
        <xdr:cNvPr id="11" name="Chart 27"/>
        <xdr:cNvGraphicFramePr/>
      </xdr:nvGraphicFramePr>
      <xdr:xfrm>
        <a:off x="22317075" y="16897350"/>
        <a:ext cx="6486525" cy="4581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438150</xdr:colOff>
      <xdr:row>132</xdr:row>
      <xdr:rowOff>19050</xdr:rowOff>
    </xdr:from>
    <xdr:to>
      <xdr:col>27</xdr:col>
      <xdr:colOff>523875</xdr:colOff>
      <xdr:row>160</xdr:row>
      <xdr:rowOff>76200</xdr:rowOff>
    </xdr:to>
    <xdr:graphicFrame>
      <xdr:nvGraphicFramePr>
        <xdr:cNvPr id="12" name="Chart 28"/>
        <xdr:cNvGraphicFramePr/>
      </xdr:nvGraphicFramePr>
      <xdr:xfrm>
        <a:off x="10429875" y="22050375"/>
        <a:ext cx="6496050" cy="4591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26</xdr:col>
      <xdr:colOff>180975</xdr:colOff>
      <xdr:row>159</xdr:row>
      <xdr:rowOff>152400</xdr:rowOff>
    </xdr:from>
    <xdr:to>
      <xdr:col>36</xdr:col>
      <xdr:colOff>504825</xdr:colOff>
      <xdr:row>188</xdr:row>
      <xdr:rowOff>57150</xdr:rowOff>
    </xdr:to>
    <xdr:graphicFrame>
      <xdr:nvGraphicFramePr>
        <xdr:cNvPr id="13" name="Chart 29"/>
        <xdr:cNvGraphicFramePr/>
      </xdr:nvGraphicFramePr>
      <xdr:xfrm>
        <a:off x="15887700" y="26555700"/>
        <a:ext cx="6505575" cy="4600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28</xdr:col>
      <xdr:colOff>57150</xdr:colOff>
      <xdr:row>188</xdr:row>
      <xdr:rowOff>133350</xdr:rowOff>
    </xdr:from>
    <xdr:to>
      <xdr:col>38</xdr:col>
      <xdr:colOff>466725</xdr:colOff>
      <xdr:row>217</xdr:row>
      <xdr:rowOff>38100</xdr:rowOff>
    </xdr:to>
    <xdr:graphicFrame>
      <xdr:nvGraphicFramePr>
        <xdr:cNvPr id="14" name="Chart 30"/>
        <xdr:cNvGraphicFramePr/>
      </xdr:nvGraphicFramePr>
      <xdr:xfrm>
        <a:off x="17068800" y="31232475"/>
        <a:ext cx="6505575" cy="4600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37</xdr:col>
      <xdr:colOff>9525</xdr:colOff>
      <xdr:row>159</xdr:row>
      <xdr:rowOff>95250</xdr:rowOff>
    </xdr:from>
    <xdr:to>
      <xdr:col>45</xdr:col>
      <xdr:colOff>247650</xdr:colOff>
      <xdr:row>179</xdr:row>
      <xdr:rowOff>0</xdr:rowOff>
    </xdr:to>
    <xdr:graphicFrame>
      <xdr:nvGraphicFramePr>
        <xdr:cNvPr id="15" name="Chart 32"/>
        <xdr:cNvGraphicFramePr/>
      </xdr:nvGraphicFramePr>
      <xdr:xfrm>
        <a:off x="22507575" y="26498550"/>
        <a:ext cx="5114925" cy="3143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26</xdr:col>
      <xdr:colOff>447675</xdr:colOff>
      <xdr:row>71</xdr:row>
      <xdr:rowOff>104775</xdr:rowOff>
    </xdr:from>
    <xdr:to>
      <xdr:col>37</xdr:col>
      <xdr:colOff>152400</xdr:colOff>
      <xdr:row>100</xdr:row>
      <xdr:rowOff>0</xdr:rowOff>
    </xdr:to>
    <xdr:graphicFrame>
      <xdr:nvGraphicFramePr>
        <xdr:cNvPr id="16" name="Chart 33"/>
        <xdr:cNvGraphicFramePr/>
      </xdr:nvGraphicFramePr>
      <xdr:xfrm>
        <a:off x="16154400" y="12258675"/>
        <a:ext cx="6496050" cy="4591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26</xdr:col>
      <xdr:colOff>447675</xdr:colOff>
      <xdr:row>42</xdr:row>
      <xdr:rowOff>152400</xdr:rowOff>
    </xdr:from>
    <xdr:to>
      <xdr:col>37</xdr:col>
      <xdr:colOff>161925</xdr:colOff>
      <xdr:row>71</xdr:row>
      <xdr:rowOff>57150</xdr:rowOff>
    </xdr:to>
    <xdr:graphicFrame>
      <xdr:nvGraphicFramePr>
        <xdr:cNvPr id="17" name="Chart 34"/>
        <xdr:cNvGraphicFramePr/>
      </xdr:nvGraphicFramePr>
      <xdr:xfrm>
        <a:off x="16154400" y="7610475"/>
        <a:ext cx="6505575" cy="4600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381000</xdr:colOff>
      <xdr:row>188</xdr:row>
      <xdr:rowOff>133350</xdr:rowOff>
    </xdr:from>
    <xdr:to>
      <xdr:col>27</xdr:col>
      <xdr:colOff>485775</xdr:colOff>
      <xdr:row>217</xdr:row>
      <xdr:rowOff>47625</xdr:rowOff>
    </xdr:to>
    <xdr:graphicFrame>
      <xdr:nvGraphicFramePr>
        <xdr:cNvPr id="18" name="Chart 38"/>
        <xdr:cNvGraphicFramePr/>
      </xdr:nvGraphicFramePr>
      <xdr:xfrm>
        <a:off x="10372725" y="31232475"/>
        <a:ext cx="6515100" cy="4610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400050</xdr:colOff>
      <xdr:row>121</xdr:row>
      <xdr:rowOff>9525</xdr:rowOff>
    </xdr:from>
    <xdr:to>
      <xdr:col>25</xdr:col>
      <xdr:colOff>704850</xdr:colOff>
      <xdr:row>140</xdr:row>
      <xdr:rowOff>66675</xdr:rowOff>
    </xdr:to>
    <xdr:graphicFrame>
      <xdr:nvGraphicFramePr>
        <xdr:cNvPr id="19" name="Chart 39"/>
        <xdr:cNvGraphicFramePr/>
      </xdr:nvGraphicFramePr>
      <xdr:xfrm>
        <a:off x="10391775" y="20259675"/>
        <a:ext cx="5105400" cy="3133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447675</xdr:colOff>
      <xdr:row>166</xdr:row>
      <xdr:rowOff>123825</xdr:rowOff>
    </xdr:from>
    <xdr:to>
      <xdr:col>25</xdr:col>
      <xdr:colOff>762000</xdr:colOff>
      <xdr:row>186</xdr:row>
      <xdr:rowOff>28575</xdr:rowOff>
    </xdr:to>
    <xdr:graphicFrame>
      <xdr:nvGraphicFramePr>
        <xdr:cNvPr id="20" name="Chart 40"/>
        <xdr:cNvGraphicFramePr/>
      </xdr:nvGraphicFramePr>
      <xdr:xfrm>
        <a:off x="10439400" y="27660600"/>
        <a:ext cx="5114925" cy="3143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400050</xdr:colOff>
      <xdr:row>101</xdr:row>
      <xdr:rowOff>28575</xdr:rowOff>
    </xdr:from>
    <xdr:to>
      <xdr:col>25</xdr:col>
      <xdr:colOff>714375</xdr:colOff>
      <xdr:row>120</xdr:row>
      <xdr:rowOff>95250</xdr:rowOff>
    </xdr:to>
    <xdr:graphicFrame>
      <xdr:nvGraphicFramePr>
        <xdr:cNvPr id="21" name="Chart 41"/>
        <xdr:cNvGraphicFramePr/>
      </xdr:nvGraphicFramePr>
      <xdr:xfrm>
        <a:off x="10391775" y="17040225"/>
        <a:ext cx="5114925" cy="3143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36</xdr:col>
      <xdr:colOff>409575</xdr:colOff>
      <xdr:row>129</xdr:row>
      <xdr:rowOff>28575</xdr:rowOff>
    </xdr:from>
    <xdr:to>
      <xdr:col>47</xdr:col>
      <xdr:colOff>209550</xdr:colOff>
      <xdr:row>157</xdr:row>
      <xdr:rowOff>95250</xdr:rowOff>
    </xdr:to>
    <xdr:graphicFrame>
      <xdr:nvGraphicFramePr>
        <xdr:cNvPr id="22" name="Chart 42"/>
        <xdr:cNvGraphicFramePr/>
      </xdr:nvGraphicFramePr>
      <xdr:xfrm>
        <a:off x="22298025" y="21574125"/>
        <a:ext cx="6505575" cy="4600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37</xdr:col>
      <xdr:colOff>438150</xdr:colOff>
      <xdr:row>71</xdr:row>
      <xdr:rowOff>104775</xdr:rowOff>
    </xdr:from>
    <xdr:to>
      <xdr:col>48</xdr:col>
      <xdr:colOff>238125</xdr:colOff>
      <xdr:row>100</xdr:row>
      <xdr:rowOff>9525</xdr:rowOff>
    </xdr:to>
    <xdr:graphicFrame>
      <xdr:nvGraphicFramePr>
        <xdr:cNvPr id="23" name="Chart 43"/>
        <xdr:cNvGraphicFramePr/>
      </xdr:nvGraphicFramePr>
      <xdr:xfrm>
        <a:off x="22936200" y="12258675"/>
        <a:ext cx="6505575" cy="4600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2"/>
  <sheetViews>
    <sheetView tabSelected="1" workbookViewId="0" topLeftCell="A92">
      <selection activeCell="AA130" sqref="AA130:AD130"/>
    </sheetView>
  </sheetViews>
  <sheetFormatPr defaultColWidth="9.140625" defaultRowHeight="12.75"/>
  <cols>
    <col min="1" max="1" width="9.140625" style="1" customWidth="1"/>
    <col min="2" max="8" width="8.7109375" style="1" customWidth="1"/>
    <col min="9" max="9" width="9.140625" style="27" customWidth="1"/>
    <col min="10" max="10" width="9.140625" style="29" customWidth="1"/>
    <col min="11" max="11" width="9.140625" style="32" customWidth="1"/>
    <col min="12" max="12" width="8.7109375" style="39" customWidth="1"/>
    <col min="13" max="13" width="8.7109375" style="41" customWidth="1"/>
    <col min="14" max="14" width="8.7109375" style="49" customWidth="1"/>
    <col min="15" max="15" width="8.7109375" style="59" customWidth="1"/>
    <col min="16" max="16" width="8.7109375" style="55" customWidth="1"/>
    <col min="17" max="17" width="8.7109375" style="69" customWidth="1"/>
    <col min="18" max="24" width="8.7109375" style="1" customWidth="1"/>
    <col min="25" max="25" width="11.00390625" style="1" customWidth="1"/>
    <col min="26" max="26" width="13.7109375" style="1" customWidth="1"/>
    <col min="27" max="27" width="10.421875" style="1" customWidth="1"/>
    <col min="28" max="16384" width="9.140625" style="1" customWidth="1"/>
  </cols>
  <sheetData>
    <row r="1" spans="9:17" ht="12.75">
      <c r="I1" s="47"/>
      <c r="J1" s="48" t="s">
        <v>35</v>
      </c>
      <c r="K1" s="47"/>
      <c r="L1" s="47"/>
      <c r="M1" s="47"/>
      <c r="N1" s="47"/>
      <c r="O1" s="47"/>
      <c r="P1" s="47"/>
      <c r="Q1" s="68"/>
    </row>
    <row r="2" spans="9:28" ht="15">
      <c r="I2" s="26" t="s">
        <v>22</v>
      </c>
      <c r="J2" s="23" t="s">
        <v>29</v>
      </c>
      <c r="K2" s="31" t="s">
        <v>30</v>
      </c>
      <c r="L2" s="40" t="s">
        <v>2</v>
      </c>
      <c r="N2" s="50" t="s">
        <v>36</v>
      </c>
      <c r="O2" s="60"/>
      <c r="P2" s="56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">
      <c r="A3" s="23" t="s">
        <v>0</v>
      </c>
      <c r="B3" s="23"/>
      <c r="D3" s="23"/>
      <c r="E3" s="23"/>
      <c r="F3" s="23"/>
      <c r="G3" s="23"/>
      <c r="I3" s="27" t="s">
        <v>34</v>
      </c>
      <c r="J3" s="29" t="s">
        <v>33</v>
      </c>
      <c r="K3" s="32" t="s">
        <v>33</v>
      </c>
      <c r="M3" s="42"/>
      <c r="N3" s="51" t="s">
        <v>34</v>
      </c>
      <c r="O3" s="61"/>
      <c r="P3" s="21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3:35" ht="15">
      <c r="C4" s="25" t="s">
        <v>1</v>
      </c>
      <c r="L4" s="35"/>
      <c r="M4" s="42">
        <v>180</v>
      </c>
      <c r="N4" s="52"/>
      <c r="O4" s="62"/>
      <c r="P4" s="2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D4" s="4"/>
      <c r="AE4" s="4"/>
      <c r="AF4" s="4"/>
      <c r="AG4" s="4"/>
      <c r="AH4" s="5"/>
      <c r="AI4" s="5"/>
    </row>
    <row r="5" spans="1:35" ht="15">
      <c r="A5" s="23" t="s">
        <v>6</v>
      </c>
      <c r="B5" s="24">
        <v>0</v>
      </c>
      <c r="C5" s="24">
        <v>90</v>
      </c>
      <c r="D5" s="24">
        <v>180</v>
      </c>
      <c r="E5" s="24">
        <v>270</v>
      </c>
      <c r="F5" s="24"/>
      <c r="G5" s="24" t="s">
        <v>4</v>
      </c>
      <c r="H5" s="1" t="s">
        <v>5</v>
      </c>
      <c r="I5" s="27" t="s">
        <v>18</v>
      </c>
      <c r="J5" s="30" t="s">
        <v>14</v>
      </c>
      <c r="K5" s="33" t="s">
        <v>15</v>
      </c>
      <c r="L5" s="36" t="s">
        <v>2</v>
      </c>
      <c r="M5" s="46" t="s">
        <v>31</v>
      </c>
      <c r="N5" s="50" t="s">
        <v>36</v>
      </c>
      <c r="O5" s="60" t="s">
        <v>37</v>
      </c>
      <c r="P5" s="56" t="s">
        <v>40</v>
      </c>
      <c r="Q5" s="71" t="s">
        <v>46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D5" s="5"/>
      <c r="AE5" s="5"/>
      <c r="AF5" s="5"/>
      <c r="AG5" s="5"/>
      <c r="AH5" s="5"/>
      <c r="AI5" s="5"/>
    </row>
    <row r="6" spans="1:35" ht="15">
      <c r="A6" s="3">
        <v>1969</v>
      </c>
      <c r="B6" s="57">
        <v>148</v>
      </c>
      <c r="C6" s="21">
        <v>167</v>
      </c>
      <c r="D6" s="57">
        <v>175</v>
      </c>
      <c r="E6" s="57">
        <v>164</v>
      </c>
      <c r="F6" s="57"/>
      <c r="G6" s="3">
        <f>MAX(B6:E6)</f>
        <v>175</v>
      </c>
      <c r="H6" s="1">
        <f>B6/C6</f>
        <v>0.8862275449101796</v>
      </c>
      <c r="I6" s="27">
        <f>MAX(B6:E6)</f>
        <v>175</v>
      </c>
      <c r="J6" s="25">
        <f>(B6*56*0.01)</f>
        <v>82.88</v>
      </c>
      <c r="K6" s="34">
        <f>C6*56*0.0125</f>
        <v>116.9</v>
      </c>
      <c r="L6" s="37">
        <f>K6-J6</f>
        <v>34.02000000000001</v>
      </c>
      <c r="M6" s="41">
        <f>((C6*56*0.0125)-(B6*56*0.01))/90</f>
        <v>0.3780000000000001</v>
      </c>
      <c r="N6" s="53">
        <f>B6</f>
        <v>148</v>
      </c>
      <c r="O6" s="63">
        <f>C6/(MAX(C6:E6))</f>
        <v>0.9542857142857143</v>
      </c>
      <c r="P6" s="57">
        <f>(D6*56*0.0125)/180</f>
        <v>0.6805555555555556</v>
      </c>
      <c r="Q6" s="69">
        <v>90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s="10"/>
      <c r="AE6" s="10"/>
      <c r="AF6" s="10"/>
      <c r="AG6" s="10"/>
      <c r="AH6" s="10"/>
      <c r="AI6" s="5"/>
    </row>
    <row r="7" spans="1:35" ht="15">
      <c r="A7" s="11">
        <v>1970</v>
      </c>
      <c r="B7" s="57">
        <v>98</v>
      </c>
      <c r="C7" s="57">
        <v>127</v>
      </c>
      <c r="D7" s="57">
        <v>133</v>
      </c>
      <c r="E7" s="21">
        <v>140</v>
      </c>
      <c r="F7" s="21"/>
      <c r="G7" s="3">
        <f aca="true" t="shared" si="0" ref="G7:G20">MAX(B7:E7)</f>
        <v>140</v>
      </c>
      <c r="H7" s="1">
        <f aca="true" t="shared" si="1" ref="H7:H20">B7/C7</f>
        <v>0.7716535433070866</v>
      </c>
      <c r="I7" s="27">
        <f aca="true" t="shared" si="2" ref="I7:I20">MAX(B7:E7)</f>
        <v>140</v>
      </c>
      <c r="J7" s="25">
        <f aca="true" t="shared" si="3" ref="J7:J20">(B7*56*0.01)</f>
        <v>54.88</v>
      </c>
      <c r="K7" s="34">
        <f aca="true" t="shared" si="4" ref="K7:K20">C7*56*0.0125</f>
        <v>88.9</v>
      </c>
      <c r="L7" s="37">
        <f aca="true" t="shared" si="5" ref="L7:L20">K7-J7</f>
        <v>34.02</v>
      </c>
      <c r="M7" s="41">
        <f aca="true" t="shared" si="6" ref="M7:M20">((C7*56*0.0125)-(B7*56*0.01))/90</f>
        <v>0.37800000000000006</v>
      </c>
      <c r="N7" s="53">
        <f aca="true" t="shared" si="7" ref="N7:N20">B7</f>
        <v>98</v>
      </c>
      <c r="O7" s="63">
        <f aca="true" t="shared" si="8" ref="O7:O20">C7/(MAX(C7:E7))</f>
        <v>0.9071428571428571</v>
      </c>
      <c r="P7" s="57">
        <f aca="true" t="shared" si="9" ref="P7:P20">(D7*56*0.0125)/180</f>
        <v>0.5172222222222222</v>
      </c>
      <c r="Q7" s="69">
        <v>90</v>
      </c>
      <c r="R7" s="3"/>
      <c r="S7" s="3"/>
      <c r="T7" s="3"/>
      <c r="U7" s="3"/>
      <c r="V7" s="3"/>
      <c r="W7" s="3"/>
      <c r="X7" s="3"/>
      <c r="Y7" s="8"/>
      <c r="Z7" s="9"/>
      <c r="AA7" s="8"/>
      <c r="AB7" s="20"/>
      <c r="AD7" s="10"/>
      <c r="AE7" s="10"/>
      <c r="AF7" s="10"/>
      <c r="AG7" s="10"/>
      <c r="AH7" s="10"/>
      <c r="AI7" s="5"/>
    </row>
    <row r="8" spans="1:35" s="12" customFormat="1" ht="15">
      <c r="A8" s="11">
        <v>1971</v>
      </c>
      <c r="B8" s="57">
        <v>101</v>
      </c>
      <c r="C8" s="57">
        <v>154</v>
      </c>
      <c r="D8" s="57">
        <v>144</v>
      </c>
      <c r="E8" s="21">
        <v>163</v>
      </c>
      <c r="F8" s="21"/>
      <c r="G8" s="3">
        <f t="shared" si="0"/>
        <v>163</v>
      </c>
      <c r="H8" s="1">
        <f t="shared" si="1"/>
        <v>0.6558441558441559</v>
      </c>
      <c r="I8" s="27">
        <f t="shared" si="2"/>
        <v>163</v>
      </c>
      <c r="J8" s="25">
        <f t="shared" si="3"/>
        <v>56.56</v>
      </c>
      <c r="K8" s="34">
        <f t="shared" si="4"/>
        <v>107.80000000000001</v>
      </c>
      <c r="L8" s="37">
        <f t="shared" si="5"/>
        <v>51.24000000000001</v>
      </c>
      <c r="M8" s="41">
        <f t="shared" si="6"/>
        <v>0.5693333333333335</v>
      </c>
      <c r="N8" s="53">
        <f t="shared" si="7"/>
        <v>101</v>
      </c>
      <c r="O8" s="63">
        <f t="shared" si="8"/>
        <v>0.9447852760736196</v>
      </c>
      <c r="P8" s="57">
        <f t="shared" si="9"/>
        <v>0.56</v>
      </c>
      <c r="Q8" s="69">
        <v>90</v>
      </c>
      <c r="R8" s="11"/>
      <c r="S8" s="3"/>
      <c r="T8" s="3"/>
      <c r="U8" s="3"/>
      <c r="V8" s="3"/>
      <c r="W8" s="3"/>
      <c r="X8" s="3"/>
      <c r="Y8" s="8"/>
      <c r="Z8" s="9"/>
      <c r="AA8" s="8"/>
      <c r="AB8" s="20"/>
      <c r="AD8" s="13"/>
      <c r="AE8" s="13"/>
      <c r="AF8" s="13"/>
      <c r="AG8" s="13"/>
      <c r="AH8" s="13"/>
      <c r="AI8" s="14"/>
    </row>
    <row r="9" spans="1:35" ht="15">
      <c r="A9" s="11">
        <v>1972</v>
      </c>
      <c r="B9" s="57">
        <v>67</v>
      </c>
      <c r="C9" s="57">
        <v>142</v>
      </c>
      <c r="D9" s="21">
        <v>152</v>
      </c>
      <c r="E9" s="57">
        <v>159</v>
      </c>
      <c r="F9" s="57"/>
      <c r="G9" s="3">
        <f t="shared" si="0"/>
        <v>159</v>
      </c>
      <c r="H9" s="1">
        <f t="shared" si="1"/>
        <v>0.47183098591549294</v>
      </c>
      <c r="I9" s="27">
        <f t="shared" si="2"/>
        <v>159</v>
      </c>
      <c r="J9" s="25">
        <f t="shared" si="3"/>
        <v>37.52</v>
      </c>
      <c r="K9" s="34">
        <f t="shared" si="4"/>
        <v>99.4</v>
      </c>
      <c r="L9" s="37">
        <f t="shared" si="5"/>
        <v>61.88</v>
      </c>
      <c r="M9" s="41">
        <f t="shared" si="6"/>
        <v>0.6875555555555556</v>
      </c>
      <c r="N9" s="53">
        <f t="shared" si="7"/>
        <v>67</v>
      </c>
      <c r="O9" s="63">
        <f t="shared" si="8"/>
        <v>0.8930817610062893</v>
      </c>
      <c r="P9" s="57">
        <f t="shared" si="9"/>
        <v>0.5911111111111111</v>
      </c>
      <c r="Q9" s="69">
        <v>90</v>
      </c>
      <c r="R9" s="3"/>
      <c r="S9" s="3"/>
      <c r="T9" s="3"/>
      <c r="U9" s="3"/>
      <c r="V9" s="3"/>
      <c r="W9" s="3"/>
      <c r="X9" s="3"/>
      <c r="Y9" s="8"/>
      <c r="Z9" s="9"/>
      <c r="AA9" s="8"/>
      <c r="AB9" s="20"/>
      <c r="AD9" s="15"/>
      <c r="AE9" s="10"/>
      <c r="AF9" s="10"/>
      <c r="AG9" s="10"/>
      <c r="AH9" s="10"/>
      <c r="AI9" s="5"/>
    </row>
    <row r="10" spans="1:35" ht="15">
      <c r="A10" s="11">
        <v>1973</v>
      </c>
      <c r="B10" s="57">
        <v>96</v>
      </c>
      <c r="C10" s="57">
        <v>131</v>
      </c>
      <c r="D10" s="21">
        <v>140</v>
      </c>
      <c r="E10" s="57">
        <v>137</v>
      </c>
      <c r="F10" s="57"/>
      <c r="G10" s="3">
        <f t="shared" si="0"/>
        <v>140</v>
      </c>
      <c r="H10" s="1">
        <f t="shared" si="1"/>
        <v>0.732824427480916</v>
      </c>
      <c r="I10" s="27">
        <f t="shared" si="2"/>
        <v>140</v>
      </c>
      <c r="J10" s="25">
        <f t="shared" si="3"/>
        <v>53.76</v>
      </c>
      <c r="K10" s="34">
        <f t="shared" si="4"/>
        <v>91.7</v>
      </c>
      <c r="L10" s="37">
        <f t="shared" si="5"/>
        <v>37.940000000000005</v>
      </c>
      <c r="M10" s="41">
        <f t="shared" si="6"/>
        <v>0.4215555555555556</v>
      </c>
      <c r="N10" s="53">
        <f t="shared" si="7"/>
        <v>96</v>
      </c>
      <c r="O10" s="63">
        <f t="shared" si="8"/>
        <v>0.9357142857142857</v>
      </c>
      <c r="P10" s="57">
        <f t="shared" si="9"/>
        <v>0.5444444444444444</v>
      </c>
      <c r="Q10" s="69">
        <v>90</v>
      </c>
      <c r="R10" s="3"/>
      <c r="S10" s="3"/>
      <c r="T10" s="3"/>
      <c r="U10" s="3"/>
      <c r="V10" s="3"/>
      <c r="W10" s="3"/>
      <c r="X10" s="3"/>
      <c r="Y10" s="8"/>
      <c r="Z10" s="9"/>
      <c r="AA10" s="8"/>
      <c r="AB10" s="20"/>
      <c r="AD10" s="16"/>
      <c r="AE10" s="10"/>
      <c r="AF10" s="10"/>
      <c r="AG10" s="10"/>
      <c r="AH10" s="10"/>
      <c r="AI10" s="5"/>
    </row>
    <row r="11" spans="1:35" ht="15">
      <c r="A11" s="11">
        <v>1974</v>
      </c>
      <c r="B11" s="57">
        <v>68</v>
      </c>
      <c r="C11" s="21">
        <v>108</v>
      </c>
      <c r="D11" s="57">
        <v>118</v>
      </c>
      <c r="E11" s="57">
        <v>118</v>
      </c>
      <c r="F11" s="57"/>
      <c r="G11" s="3">
        <f t="shared" si="0"/>
        <v>118</v>
      </c>
      <c r="H11" s="1">
        <f t="shared" si="1"/>
        <v>0.6296296296296297</v>
      </c>
      <c r="I11" s="27">
        <f t="shared" si="2"/>
        <v>118</v>
      </c>
      <c r="J11" s="25">
        <f t="shared" si="3"/>
        <v>38.08</v>
      </c>
      <c r="K11" s="34">
        <f t="shared" si="4"/>
        <v>75.60000000000001</v>
      </c>
      <c r="L11" s="37">
        <f t="shared" si="5"/>
        <v>37.52000000000001</v>
      </c>
      <c r="M11" s="41">
        <f t="shared" si="6"/>
        <v>0.416888888888889</v>
      </c>
      <c r="N11" s="53">
        <f t="shared" si="7"/>
        <v>68</v>
      </c>
      <c r="O11" s="63">
        <f t="shared" si="8"/>
        <v>0.9152542372881356</v>
      </c>
      <c r="P11" s="57">
        <f t="shared" si="9"/>
        <v>0.45888888888888896</v>
      </c>
      <c r="Q11" s="69">
        <v>90</v>
      </c>
      <c r="R11" s="3"/>
      <c r="S11" s="3"/>
      <c r="T11" s="3"/>
      <c r="U11" s="3"/>
      <c r="V11" s="3"/>
      <c r="W11" s="3"/>
      <c r="X11" s="3"/>
      <c r="Y11" s="8"/>
      <c r="Z11" s="9"/>
      <c r="AA11" s="8"/>
      <c r="AB11" s="20"/>
      <c r="AD11" s="15"/>
      <c r="AE11" s="13"/>
      <c r="AF11" s="13"/>
      <c r="AG11" s="13"/>
      <c r="AH11" s="10"/>
      <c r="AI11" s="5"/>
    </row>
    <row r="12" spans="1:35" ht="15">
      <c r="A12" s="11">
        <v>1975</v>
      </c>
      <c r="B12" s="57">
        <v>41</v>
      </c>
      <c r="C12" s="57">
        <v>131</v>
      </c>
      <c r="D12" s="21">
        <v>142</v>
      </c>
      <c r="E12" s="57">
        <v>138</v>
      </c>
      <c r="F12" s="57"/>
      <c r="G12" s="3">
        <f t="shared" si="0"/>
        <v>142</v>
      </c>
      <c r="H12" s="1">
        <f t="shared" si="1"/>
        <v>0.31297709923664124</v>
      </c>
      <c r="I12" s="27">
        <f t="shared" si="2"/>
        <v>142</v>
      </c>
      <c r="J12" s="25">
        <f t="shared" si="3"/>
        <v>22.96</v>
      </c>
      <c r="K12" s="34">
        <f t="shared" si="4"/>
        <v>91.7</v>
      </c>
      <c r="L12" s="37">
        <f t="shared" si="5"/>
        <v>68.74000000000001</v>
      </c>
      <c r="M12" s="41">
        <f t="shared" si="6"/>
        <v>0.7637777777777779</v>
      </c>
      <c r="N12" s="53">
        <f t="shared" si="7"/>
        <v>41</v>
      </c>
      <c r="O12" s="63">
        <f t="shared" si="8"/>
        <v>0.9225352112676056</v>
      </c>
      <c r="P12" s="57">
        <f t="shared" si="9"/>
        <v>0.5522222222222223</v>
      </c>
      <c r="Q12" s="69">
        <v>90</v>
      </c>
      <c r="R12" s="3"/>
      <c r="S12" s="3"/>
      <c r="T12" s="3"/>
      <c r="U12" s="3"/>
      <c r="V12" s="3"/>
      <c r="W12" s="3"/>
      <c r="X12" s="3"/>
      <c r="Y12" s="8"/>
      <c r="Z12" s="9"/>
      <c r="AA12" s="8"/>
      <c r="AB12" s="20"/>
      <c r="AD12" s="17"/>
      <c r="AE12" s="10"/>
      <c r="AF12" s="10"/>
      <c r="AG12" s="10"/>
      <c r="AH12" s="10"/>
      <c r="AI12" s="5"/>
    </row>
    <row r="13" spans="1:35" ht="15">
      <c r="A13" s="11">
        <v>1976</v>
      </c>
      <c r="B13" s="57">
        <v>96</v>
      </c>
      <c r="C13" s="21">
        <v>139</v>
      </c>
      <c r="D13" s="57">
        <v>135</v>
      </c>
      <c r="E13" s="57">
        <v>145</v>
      </c>
      <c r="F13" s="57"/>
      <c r="G13" s="3">
        <f t="shared" si="0"/>
        <v>145</v>
      </c>
      <c r="H13" s="1">
        <f t="shared" si="1"/>
        <v>0.6906474820143885</v>
      </c>
      <c r="I13" s="27">
        <f t="shared" si="2"/>
        <v>145</v>
      </c>
      <c r="J13" s="25">
        <f t="shared" si="3"/>
        <v>53.76</v>
      </c>
      <c r="K13" s="34">
        <f t="shared" si="4"/>
        <v>97.30000000000001</v>
      </c>
      <c r="L13" s="37">
        <f t="shared" si="5"/>
        <v>43.54000000000001</v>
      </c>
      <c r="M13" s="41">
        <f t="shared" si="6"/>
        <v>0.4837777777777779</v>
      </c>
      <c r="N13" s="53">
        <f t="shared" si="7"/>
        <v>96</v>
      </c>
      <c r="O13" s="63">
        <f t="shared" si="8"/>
        <v>0.9586206896551724</v>
      </c>
      <c r="P13" s="57">
        <f t="shared" si="9"/>
        <v>0.525</v>
      </c>
      <c r="Q13" s="69">
        <v>90</v>
      </c>
      <c r="R13" s="3"/>
      <c r="S13" s="3"/>
      <c r="T13" s="3"/>
      <c r="U13" s="3"/>
      <c r="V13" s="3"/>
      <c r="W13" s="3"/>
      <c r="X13" s="3"/>
      <c r="Y13" s="8"/>
      <c r="Z13" s="9"/>
      <c r="AA13" s="8"/>
      <c r="AB13" s="20"/>
      <c r="AD13" s="16"/>
      <c r="AE13" s="10"/>
      <c r="AF13" s="10"/>
      <c r="AG13" s="10"/>
      <c r="AH13" s="10"/>
      <c r="AI13" s="5"/>
    </row>
    <row r="14" spans="1:35" ht="15">
      <c r="A14" s="11">
        <v>1977</v>
      </c>
      <c r="B14" s="57">
        <v>84</v>
      </c>
      <c r="C14" s="57">
        <v>107</v>
      </c>
      <c r="D14" s="21">
        <v>121</v>
      </c>
      <c r="E14" s="57">
        <v>117</v>
      </c>
      <c r="F14" s="57"/>
      <c r="G14" s="3">
        <f t="shared" si="0"/>
        <v>121</v>
      </c>
      <c r="H14" s="1">
        <f t="shared" si="1"/>
        <v>0.7850467289719626</v>
      </c>
      <c r="I14" s="27">
        <f t="shared" si="2"/>
        <v>121</v>
      </c>
      <c r="J14" s="25">
        <f t="shared" si="3"/>
        <v>47.04</v>
      </c>
      <c r="K14" s="34">
        <f t="shared" si="4"/>
        <v>74.9</v>
      </c>
      <c r="L14" s="37">
        <f t="shared" si="5"/>
        <v>27.860000000000007</v>
      </c>
      <c r="M14" s="41">
        <f t="shared" si="6"/>
        <v>0.30955555555555564</v>
      </c>
      <c r="N14" s="53">
        <f t="shared" si="7"/>
        <v>84</v>
      </c>
      <c r="O14" s="63">
        <f t="shared" si="8"/>
        <v>0.8842975206611571</v>
      </c>
      <c r="P14" s="57">
        <f t="shared" si="9"/>
        <v>0.47055555555555556</v>
      </c>
      <c r="Q14" s="69">
        <v>90</v>
      </c>
      <c r="R14" s="3"/>
      <c r="S14" s="3"/>
      <c r="T14" s="3"/>
      <c r="U14" s="3"/>
      <c r="V14" s="3"/>
      <c r="W14" s="3"/>
      <c r="X14" s="3"/>
      <c r="Y14" s="8"/>
      <c r="Z14" s="9"/>
      <c r="AA14" s="8"/>
      <c r="AB14" s="20"/>
      <c r="AD14" s="15"/>
      <c r="AE14" s="13"/>
      <c r="AF14" s="13"/>
      <c r="AG14" s="13"/>
      <c r="AH14" s="10"/>
      <c r="AI14" s="5"/>
    </row>
    <row r="15" spans="1:35" ht="15">
      <c r="A15" s="11">
        <v>1978</v>
      </c>
      <c r="B15" s="57">
        <v>149</v>
      </c>
      <c r="C15" s="21">
        <v>181</v>
      </c>
      <c r="D15" s="57">
        <v>175</v>
      </c>
      <c r="E15" s="57">
        <v>181</v>
      </c>
      <c r="F15" s="57"/>
      <c r="G15" s="3">
        <f t="shared" si="0"/>
        <v>181</v>
      </c>
      <c r="H15" s="1">
        <f t="shared" si="1"/>
        <v>0.8232044198895028</v>
      </c>
      <c r="I15" s="27">
        <f t="shared" si="2"/>
        <v>181</v>
      </c>
      <c r="J15" s="25">
        <f t="shared" si="3"/>
        <v>83.44</v>
      </c>
      <c r="K15" s="34">
        <f t="shared" si="4"/>
        <v>126.7</v>
      </c>
      <c r="L15" s="37">
        <f t="shared" si="5"/>
        <v>43.260000000000005</v>
      </c>
      <c r="M15" s="41">
        <f t="shared" si="6"/>
        <v>0.48066666666666674</v>
      </c>
      <c r="N15" s="53">
        <f t="shared" si="7"/>
        <v>149</v>
      </c>
      <c r="O15" s="63">
        <f t="shared" si="8"/>
        <v>1</v>
      </c>
      <c r="P15" s="57">
        <f t="shared" si="9"/>
        <v>0.6805555555555556</v>
      </c>
      <c r="Q15" s="69">
        <v>90</v>
      </c>
      <c r="R15" s="3"/>
      <c r="S15" s="3"/>
      <c r="T15" s="3"/>
      <c r="U15" s="3"/>
      <c r="V15" s="3"/>
      <c r="W15" s="3"/>
      <c r="X15" s="3"/>
      <c r="Y15" s="8"/>
      <c r="Z15" s="9"/>
      <c r="AA15" s="8"/>
      <c r="AB15" s="20"/>
      <c r="AD15" s="16"/>
      <c r="AE15" s="13"/>
      <c r="AF15" s="13"/>
      <c r="AG15" s="13"/>
      <c r="AH15" s="10"/>
      <c r="AI15" s="5"/>
    </row>
    <row r="16" spans="1:35" ht="15">
      <c r="A16" s="11">
        <v>1979</v>
      </c>
      <c r="B16" s="57">
        <v>93</v>
      </c>
      <c r="C16" s="21">
        <v>170</v>
      </c>
      <c r="D16" s="57">
        <v>173</v>
      </c>
      <c r="E16" s="57">
        <v>171</v>
      </c>
      <c r="F16" s="57"/>
      <c r="G16" s="3">
        <f t="shared" si="0"/>
        <v>173</v>
      </c>
      <c r="H16" s="1">
        <f t="shared" si="1"/>
        <v>0.5470588235294118</v>
      </c>
      <c r="I16" s="27">
        <f t="shared" si="2"/>
        <v>173</v>
      </c>
      <c r="J16" s="25">
        <f t="shared" si="3"/>
        <v>52.08</v>
      </c>
      <c r="K16" s="34">
        <f t="shared" si="4"/>
        <v>119</v>
      </c>
      <c r="L16" s="37">
        <f t="shared" si="5"/>
        <v>66.92</v>
      </c>
      <c r="M16" s="41">
        <f t="shared" si="6"/>
        <v>0.7435555555555555</v>
      </c>
      <c r="N16" s="53">
        <f t="shared" si="7"/>
        <v>93</v>
      </c>
      <c r="O16" s="63">
        <f t="shared" si="8"/>
        <v>0.9826589595375722</v>
      </c>
      <c r="P16" s="57">
        <f t="shared" si="9"/>
        <v>0.6727777777777778</v>
      </c>
      <c r="Q16" s="69">
        <v>90</v>
      </c>
      <c r="R16" s="3"/>
      <c r="S16" s="3"/>
      <c r="T16" s="3"/>
      <c r="U16" s="3"/>
      <c r="V16" s="3"/>
      <c r="W16" s="3"/>
      <c r="X16" s="3"/>
      <c r="Y16" s="8"/>
      <c r="Z16" s="9"/>
      <c r="AA16" s="8"/>
      <c r="AB16" s="20"/>
      <c r="AD16" s="10"/>
      <c r="AE16" s="10"/>
      <c r="AF16" s="10"/>
      <c r="AG16" s="10"/>
      <c r="AH16" s="10"/>
      <c r="AI16" s="5"/>
    </row>
    <row r="17" spans="1:35" ht="15">
      <c r="A17" s="11">
        <v>1980</v>
      </c>
      <c r="B17" s="57">
        <v>61</v>
      </c>
      <c r="C17" s="21">
        <v>139</v>
      </c>
      <c r="D17" s="57">
        <v>144</v>
      </c>
      <c r="E17" s="57">
        <v>143</v>
      </c>
      <c r="F17" s="57"/>
      <c r="G17" s="3">
        <f t="shared" si="0"/>
        <v>144</v>
      </c>
      <c r="H17" s="1">
        <f t="shared" si="1"/>
        <v>0.43884892086330934</v>
      </c>
      <c r="I17" s="27">
        <f t="shared" si="2"/>
        <v>144</v>
      </c>
      <c r="J17" s="25">
        <f t="shared" si="3"/>
        <v>34.160000000000004</v>
      </c>
      <c r="K17" s="34">
        <f t="shared" si="4"/>
        <v>97.30000000000001</v>
      </c>
      <c r="L17" s="37">
        <f t="shared" si="5"/>
        <v>63.14000000000001</v>
      </c>
      <c r="M17" s="41">
        <f t="shared" si="6"/>
        <v>0.7015555555555556</v>
      </c>
      <c r="N17" s="53">
        <f t="shared" si="7"/>
        <v>61</v>
      </c>
      <c r="O17" s="63">
        <f t="shared" si="8"/>
        <v>0.9652777777777778</v>
      </c>
      <c r="P17" s="57">
        <f t="shared" si="9"/>
        <v>0.56</v>
      </c>
      <c r="Q17" s="69">
        <v>90</v>
      </c>
      <c r="R17" s="3"/>
      <c r="S17" s="3"/>
      <c r="T17" s="3"/>
      <c r="U17" s="3"/>
      <c r="V17" s="3"/>
      <c r="W17" s="3"/>
      <c r="X17" s="3"/>
      <c r="Y17" s="8"/>
      <c r="Z17" s="9"/>
      <c r="AA17" s="8"/>
      <c r="AB17" s="20"/>
      <c r="AD17" s="15"/>
      <c r="AE17" s="10"/>
      <c r="AF17" s="10"/>
      <c r="AG17" s="10"/>
      <c r="AH17" s="10"/>
      <c r="AI17" s="5"/>
    </row>
    <row r="18" spans="1:35" ht="15">
      <c r="A18" s="11">
        <v>1981</v>
      </c>
      <c r="B18" s="57">
        <v>108</v>
      </c>
      <c r="C18" s="57">
        <v>137</v>
      </c>
      <c r="D18" s="57">
        <v>144</v>
      </c>
      <c r="E18" s="21">
        <v>149</v>
      </c>
      <c r="F18" s="21"/>
      <c r="G18" s="3">
        <f t="shared" si="0"/>
        <v>149</v>
      </c>
      <c r="H18" s="1">
        <f t="shared" si="1"/>
        <v>0.7883211678832117</v>
      </c>
      <c r="I18" s="27">
        <f t="shared" si="2"/>
        <v>149</v>
      </c>
      <c r="J18" s="25">
        <f t="shared" si="3"/>
        <v>60.480000000000004</v>
      </c>
      <c r="K18" s="34">
        <f t="shared" si="4"/>
        <v>95.9</v>
      </c>
      <c r="L18" s="37">
        <f t="shared" si="5"/>
        <v>35.42</v>
      </c>
      <c r="M18" s="41">
        <f t="shared" si="6"/>
        <v>0.39355555555555555</v>
      </c>
      <c r="N18" s="53">
        <f t="shared" si="7"/>
        <v>108</v>
      </c>
      <c r="O18" s="63">
        <f t="shared" si="8"/>
        <v>0.9194630872483222</v>
      </c>
      <c r="P18" s="57">
        <f t="shared" si="9"/>
        <v>0.56</v>
      </c>
      <c r="Q18" s="69">
        <v>90</v>
      </c>
      <c r="R18" s="3"/>
      <c r="S18" s="3"/>
      <c r="T18" s="3"/>
      <c r="U18" s="3"/>
      <c r="V18" s="3"/>
      <c r="W18" s="3"/>
      <c r="X18" s="3"/>
      <c r="Y18" s="8"/>
      <c r="Z18" s="9"/>
      <c r="AA18" s="8"/>
      <c r="AB18" s="20"/>
      <c r="AD18" s="16"/>
      <c r="AE18" s="10"/>
      <c r="AF18" s="10"/>
      <c r="AG18" s="10"/>
      <c r="AH18" s="10"/>
      <c r="AI18" s="5"/>
    </row>
    <row r="19" spans="1:35" ht="15">
      <c r="A19" s="11">
        <v>1982</v>
      </c>
      <c r="B19" s="57">
        <v>75</v>
      </c>
      <c r="C19" s="57">
        <v>145</v>
      </c>
      <c r="D19" s="57">
        <v>155</v>
      </c>
      <c r="E19" s="21">
        <v>165</v>
      </c>
      <c r="F19" s="21"/>
      <c r="G19" s="3">
        <f t="shared" si="0"/>
        <v>165</v>
      </c>
      <c r="H19" s="1">
        <f t="shared" si="1"/>
        <v>0.5172413793103449</v>
      </c>
      <c r="I19" s="27">
        <f t="shared" si="2"/>
        <v>165</v>
      </c>
      <c r="J19" s="25">
        <f t="shared" si="3"/>
        <v>42</v>
      </c>
      <c r="K19" s="34">
        <f t="shared" si="4"/>
        <v>101.5</v>
      </c>
      <c r="L19" s="37">
        <f t="shared" si="5"/>
        <v>59.5</v>
      </c>
      <c r="M19" s="41">
        <f t="shared" si="6"/>
        <v>0.6611111111111111</v>
      </c>
      <c r="N19" s="53">
        <f t="shared" si="7"/>
        <v>75</v>
      </c>
      <c r="O19" s="63">
        <f t="shared" si="8"/>
        <v>0.8787878787878788</v>
      </c>
      <c r="P19" s="57">
        <f t="shared" si="9"/>
        <v>0.6027777777777777</v>
      </c>
      <c r="Q19" s="69">
        <v>90</v>
      </c>
      <c r="R19" s="3"/>
      <c r="S19" s="3"/>
      <c r="T19" s="3"/>
      <c r="U19" s="3"/>
      <c r="V19" s="3"/>
      <c r="W19" s="3"/>
      <c r="X19" s="3"/>
      <c r="Y19" s="8"/>
      <c r="Z19" s="9"/>
      <c r="AA19" s="8"/>
      <c r="AB19" s="20"/>
      <c r="AD19" s="15"/>
      <c r="AE19" s="10"/>
      <c r="AF19" s="10"/>
      <c r="AG19" s="10"/>
      <c r="AH19" s="10"/>
      <c r="AI19" s="5"/>
    </row>
    <row r="20" spans="1:35" ht="15">
      <c r="A20" s="3">
        <v>1983</v>
      </c>
      <c r="B20" s="57">
        <v>54</v>
      </c>
      <c r="C20" s="57">
        <v>118</v>
      </c>
      <c r="D20" s="57">
        <v>119</v>
      </c>
      <c r="E20" s="21">
        <v>126</v>
      </c>
      <c r="F20" s="21"/>
      <c r="G20" s="3">
        <f t="shared" si="0"/>
        <v>126</v>
      </c>
      <c r="H20" s="1">
        <f t="shared" si="1"/>
        <v>0.4576271186440678</v>
      </c>
      <c r="I20" s="27">
        <f t="shared" si="2"/>
        <v>126</v>
      </c>
      <c r="J20" s="25">
        <f t="shared" si="3"/>
        <v>30.240000000000002</v>
      </c>
      <c r="K20" s="34">
        <f t="shared" si="4"/>
        <v>82.60000000000001</v>
      </c>
      <c r="L20" s="37">
        <f t="shared" si="5"/>
        <v>52.36000000000001</v>
      </c>
      <c r="M20" s="41">
        <f t="shared" si="6"/>
        <v>0.5817777777777778</v>
      </c>
      <c r="N20" s="53">
        <f t="shared" si="7"/>
        <v>54</v>
      </c>
      <c r="O20" s="63">
        <f t="shared" si="8"/>
        <v>0.9365079365079365</v>
      </c>
      <c r="P20" s="57">
        <f t="shared" si="9"/>
        <v>0.46277777777777784</v>
      </c>
      <c r="Q20" s="69">
        <v>90</v>
      </c>
      <c r="R20" s="3"/>
      <c r="S20" s="3"/>
      <c r="T20" s="3"/>
      <c r="U20" s="3"/>
      <c r="V20" s="3"/>
      <c r="W20" s="3"/>
      <c r="X20" s="3"/>
      <c r="Y20" s="8"/>
      <c r="Z20" s="9"/>
      <c r="AA20" s="8"/>
      <c r="AB20" s="20"/>
      <c r="AD20" s="17"/>
      <c r="AE20" s="10"/>
      <c r="AF20" s="10"/>
      <c r="AG20" s="10"/>
      <c r="AH20" s="10"/>
      <c r="AI20" s="5"/>
    </row>
    <row r="21" spans="1:35" ht="15">
      <c r="A21" s="3"/>
      <c r="B21" s="3"/>
      <c r="C21" s="3"/>
      <c r="D21" s="3"/>
      <c r="E21" s="6"/>
      <c r="F21" s="6"/>
      <c r="G21" s="3"/>
      <c r="H21" s="3"/>
      <c r="J21" s="30" t="s">
        <v>9</v>
      </c>
      <c r="K21" s="33" t="s">
        <v>10</v>
      </c>
      <c r="L21" s="36" t="s">
        <v>2</v>
      </c>
      <c r="M21" s="43"/>
      <c r="N21" s="53"/>
      <c r="O21" s="63"/>
      <c r="P21" s="57"/>
      <c r="R21" s="3"/>
      <c r="S21" s="3"/>
      <c r="T21" s="3"/>
      <c r="U21" s="3"/>
      <c r="V21" s="3"/>
      <c r="W21" s="3"/>
      <c r="X21" s="3"/>
      <c r="Y21" s="3"/>
      <c r="Z21" s="3"/>
      <c r="AD21" s="17"/>
      <c r="AE21" s="10"/>
      <c r="AF21" s="10"/>
      <c r="AG21" s="10"/>
      <c r="AH21" s="10"/>
      <c r="AI21" s="5"/>
    </row>
    <row r="22" spans="2:35" s="3" customFormat="1" ht="15">
      <c r="B22" s="18"/>
      <c r="C22" s="18"/>
      <c r="D22" s="18"/>
      <c r="E22" s="18"/>
      <c r="F22" s="18"/>
      <c r="G22" s="18"/>
      <c r="H22" s="18"/>
      <c r="I22" s="26" t="s">
        <v>12</v>
      </c>
      <c r="J22" s="25">
        <f>AVERAGE(J8:J20)</f>
        <v>47.08307692307692</v>
      </c>
      <c r="K22" s="34">
        <f>AVERAGE(K8:K20)</f>
        <v>97.03076923076924</v>
      </c>
      <c r="L22" s="38">
        <f>AVERAGE(L8:L20)</f>
        <v>49.947692307692314</v>
      </c>
      <c r="M22" s="43"/>
      <c r="N22" s="53"/>
      <c r="O22" s="63"/>
      <c r="P22" s="57"/>
      <c r="Q22" s="69"/>
      <c r="R22" s="2"/>
      <c r="S22" s="2"/>
      <c r="T22" s="2"/>
      <c r="U22" s="2"/>
      <c r="V22" s="2"/>
      <c r="W22" s="2"/>
      <c r="X22" s="2"/>
      <c r="Y22" s="8"/>
      <c r="Z22" s="8"/>
      <c r="AA22" s="8"/>
      <c r="AB22" s="8"/>
      <c r="AD22" s="5"/>
      <c r="AE22" s="5"/>
      <c r="AF22" s="5"/>
      <c r="AG22" s="5"/>
      <c r="AH22" s="5"/>
      <c r="AI22" s="5"/>
    </row>
    <row r="23" spans="2:35" s="3" customFormat="1" ht="15">
      <c r="B23" s="18"/>
      <c r="C23" s="18"/>
      <c r="D23" s="18"/>
      <c r="E23" s="18"/>
      <c r="F23" s="18"/>
      <c r="G23" s="18"/>
      <c r="H23" s="18"/>
      <c r="I23" s="26" t="s">
        <v>13</v>
      </c>
      <c r="J23" s="25">
        <f>STDEV(J8:J20)</f>
        <v>15.642390793724262</v>
      </c>
      <c r="K23" s="34">
        <f>STDEV(K8:K20)</f>
        <v>15.055529693736254</v>
      </c>
      <c r="L23" s="38">
        <f>STDEV(L8:L20)</f>
        <v>13.353210696212209</v>
      </c>
      <c r="M23" s="43"/>
      <c r="N23" s="53"/>
      <c r="O23" s="63"/>
      <c r="P23" s="57"/>
      <c r="Q23" s="69"/>
      <c r="R23" s="2"/>
      <c r="S23" s="2"/>
      <c r="T23" s="2"/>
      <c r="U23" s="2"/>
      <c r="V23" s="2"/>
      <c r="W23" s="2"/>
      <c r="X23" s="2"/>
      <c r="Y23" s="8"/>
      <c r="Z23" s="8"/>
      <c r="AA23" s="8"/>
      <c r="AB23" s="8"/>
      <c r="AD23" s="5"/>
      <c r="AE23" s="5"/>
      <c r="AF23" s="5"/>
      <c r="AG23" s="5"/>
      <c r="AH23" s="5"/>
      <c r="AI23" s="5"/>
    </row>
    <row r="24" spans="2:35" s="3" customFormat="1" ht="15">
      <c r="B24" s="18"/>
      <c r="C24" s="18"/>
      <c r="D24" s="18"/>
      <c r="E24" s="18"/>
      <c r="F24" s="18"/>
      <c r="G24" s="18"/>
      <c r="H24" s="18"/>
      <c r="I24" s="26" t="s">
        <v>11</v>
      </c>
      <c r="J24" s="25">
        <f>MIN(J8:J20)</f>
        <v>22.96</v>
      </c>
      <c r="K24" s="34">
        <f>MIN(K8:K20)</f>
        <v>74.9</v>
      </c>
      <c r="L24" s="38">
        <f>MIN(L8:L20)</f>
        <v>27.860000000000007</v>
      </c>
      <c r="M24" s="43"/>
      <c r="N24" s="53"/>
      <c r="O24" s="63"/>
      <c r="P24" s="57"/>
      <c r="Q24" s="69"/>
      <c r="R24" s="2"/>
      <c r="S24" s="2"/>
      <c r="T24" s="2"/>
      <c r="U24" s="2"/>
      <c r="V24" s="2"/>
      <c r="W24" s="2"/>
      <c r="X24" s="2"/>
      <c r="Y24" s="8"/>
      <c r="Z24" s="8"/>
      <c r="AA24" s="8"/>
      <c r="AB24" s="8"/>
      <c r="AD24" s="5"/>
      <c r="AE24" s="5"/>
      <c r="AF24" s="5"/>
      <c r="AG24" s="5"/>
      <c r="AH24" s="5"/>
      <c r="AI24" s="5"/>
    </row>
    <row r="25" spans="1:34" s="3" customFormat="1" ht="12.75">
      <c r="A25" s="2"/>
      <c r="B25" s="2" t="s">
        <v>3</v>
      </c>
      <c r="C25" s="7"/>
      <c r="D25" s="7"/>
      <c r="E25" s="19"/>
      <c r="F25" s="19"/>
      <c r="G25" s="19"/>
      <c r="H25" s="19"/>
      <c r="I25" s="26" t="s">
        <v>4</v>
      </c>
      <c r="J25" s="25">
        <f>MAX(J8:J20)</f>
        <v>83.44</v>
      </c>
      <c r="K25" s="34">
        <f>MAX(K8:K20)</f>
        <v>126.7</v>
      </c>
      <c r="L25" s="66">
        <f>MAX(L8:L20)</f>
        <v>68.74000000000001</v>
      </c>
      <c r="M25" s="44"/>
      <c r="N25" s="54"/>
      <c r="O25" s="64"/>
      <c r="P25" s="58"/>
      <c r="Q25" s="7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"/>
      <c r="AE25" s="1"/>
      <c r="AF25" s="1"/>
      <c r="AG25" s="1"/>
      <c r="AH25" s="1"/>
    </row>
    <row r="26" spans="1:13" ht="12.75">
      <c r="A26" s="2"/>
      <c r="B26" s="2" t="s">
        <v>23</v>
      </c>
      <c r="C26" s="2"/>
      <c r="D26" s="2"/>
      <c r="M26" s="42">
        <v>180</v>
      </c>
    </row>
    <row r="27" spans="1:16" ht="12.75">
      <c r="A27" s="2" t="s">
        <v>6</v>
      </c>
      <c r="B27" s="2">
        <v>0</v>
      </c>
      <c r="C27" s="2">
        <v>90</v>
      </c>
      <c r="D27" s="2">
        <v>180</v>
      </c>
      <c r="G27" s="1" t="s">
        <v>7</v>
      </c>
      <c r="H27" s="1" t="s">
        <v>5</v>
      </c>
      <c r="I27" s="27" t="s">
        <v>19</v>
      </c>
      <c r="J27" s="30" t="s">
        <v>9</v>
      </c>
      <c r="K27" s="33" t="s">
        <v>10</v>
      </c>
      <c r="L27" s="36" t="s">
        <v>2</v>
      </c>
      <c r="M27" s="45" t="s">
        <v>31</v>
      </c>
      <c r="N27" s="50" t="s">
        <v>36</v>
      </c>
      <c r="O27" s="60"/>
      <c r="P27" s="56" t="s">
        <v>40</v>
      </c>
    </row>
    <row r="28" spans="1:17" ht="12.75">
      <c r="A28" s="1">
        <v>1983</v>
      </c>
      <c r="B28" s="29">
        <v>3.19</v>
      </c>
      <c r="C28" s="29">
        <v>4.43</v>
      </c>
      <c r="D28" s="29">
        <v>4.13</v>
      </c>
      <c r="G28" s="1">
        <f>(MAX(B28:D28))*1000/1.12/56</f>
        <v>70.6313775510204</v>
      </c>
      <c r="H28" s="1">
        <f aca="true" t="shared" si="10" ref="H28:H48">B28/C28</f>
        <v>0.7200902934537247</v>
      </c>
      <c r="I28" s="27">
        <f>MAX(B28:F28)*1000/1.12/56</f>
        <v>70.6313775510204</v>
      </c>
      <c r="J28" s="25">
        <f>(B28*1000/1.12*0.01)</f>
        <v>28.482142857142854</v>
      </c>
      <c r="K28" s="32">
        <f>D28*1000/1.12*0.0125</f>
        <v>46.09375</v>
      </c>
      <c r="L28" s="39">
        <f>K28-J28</f>
        <v>17.611607142857146</v>
      </c>
      <c r="M28" s="41">
        <f>((D28*1000*0.0125)-(B28*1000*0.01))/180</f>
        <v>0.10958333333333332</v>
      </c>
      <c r="N28" s="49">
        <f>B28*1000/1.12/56</f>
        <v>50.8609693877551</v>
      </c>
      <c r="O28" s="63">
        <f>C28/(MAX(C28:D28))</f>
        <v>1</v>
      </c>
      <c r="P28" s="55">
        <f>(D28*1000/1.12*0.0125)/180</f>
        <v>0.2560763888888889</v>
      </c>
      <c r="Q28" s="69">
        <v>180</v>
      </c>
    </row>
    <row r="29" spans="1:17" ht="12.75">
      <c r="A29" s="1">
        <v>1984</v>
      </c>
      <c r="B29" s="29">
        <v>3.38</v>
      </c>
      <c r="C29" s="29">
        <v>4.72</v>
      </c>
      <c r="D29" s="29">
        <v>5.05</v>
      </c>
      <c r="G29" s="1">
        <f aca="true" t="shared" si="11" ref="G29:G48">(MAX(B29:D29))*1000/1.12/56</f>
        <v>80.51658163265304</v>
      </c>
      <c r="H29" s="1">
        <f t="shared" si="10"/>
        <v>0.7161016949152542</v>
      </c>
      <c r="I29" s="27">
        <f aca="true" t="shared" si="12" ref="I29:I48">MAX(B29:F29)*1000/1.12/56</f>
        <v>80.51658163265304</v>
      </c>
      <c r="J29" s="25">
        <f aca="true" t="shared" si="13" ref="J29:J39">(B29*1000/1.12*0.01)</f>
        <v>30.178571428571427</v>
      </c>
      <c r="K29" s="32">
        <f aca="true" t="shared" si="14" ref="K29:K48">D29*1000/1.12*0.0125</f>
        <v>56.36160714285714</v>
      </c>
      <c r="L29" s="39">
        <f aca="true" t="shared" si="15" ref="L29:L39">K29-J29</f>
        <v>26.18303571428571</v>
      </c>
      <c r="M29" s="41">
        <f aca="true" t="shared" si="16" ref="M29:M48">((D29*1000*0.0125)-(B29*1000*0.01))/180</f>
        <v>0.16291666666666668</v>
      </c>
      <c r="N29" s="49">
        <f aca="true" t="shared" si="17" ref="N29:N39">B29*1000/1.12/56</f>
        <v>53.890306122448976</v>
      </c>
      <c r="O29" s="63">
        <f aca="true" t="shared" si="18" ref="O29:O39">C29/(MAX(C29:D29))</f>
        <v>0.9346534653465346</v>
      </c>
      <c r="P29" s="55">
        <f aca="true" t="shared" si="19" ref="P29:P48">(D29*1000/1.12*0.0125)/180</f>
        <v>0.31312003968253965</v>
      </c>
      <c r="Q29" s="69">
        <v>180</v>
      </c>
    </row>
    <row r="30" spans="1:17" ht="12.75">
      <c r="A30" s="1">
        <v>1985</v>
      </c>
      <c r="B30" s="29">
        <v>6.25</v>
      </c>
      <c r="C30" s="29">
        <v>9.19</v>
      </c>
      <c r="D30" s="29">
        <v>10.27</v>
      </c>
      <c r="G30" s="1">
        <f t="shared" si="11"/>
        <v>163.74362244897958</v>
      </c>
      <c r="H30" s="1">
        <f t="shared" si="10"/>
        <v>0.6800870511425463</v>
      </c>
      <c r="I30" s="27">
        <f t="shared" si="12"/>
        <v>163.74362244897958</v>
      </c>
      <c r="J30" s="25">
        <f t="shared" si="13"/>
        <v>55.80357142857142</v>
      </c>
      <c r="K30" s="32">
        <f t="shared" si="14"/>
        <v>114.62053571428572</v>
      </c>
      <c r="L30" s="39">
        <f t="shared" si="15"/>
        <v>58.8169642857143</v>
      </c>
      <c r="M30" s="41">
        <f t="shared" si="16"/>
        <v>0.3659722222222222</v>
      </c>
      <c r="N30" s="49">
        <f t="shared" si="17"/>
        <v>99.64923469387755</v>
      </c>
      <c r="O30" s="63">
        <f t="shared" si="18"/>
        <v>0.8948393378773125</v>
      </c>
      <c r="P30" s="55">
        <f t="shared" si="19"/>
        <v>0.6367807539682541</v>
      </c>
      <c r="Q30" s="69">
        <v>180</v>
      </c>
    </row>
    <row r="31" spans="1:17" ht="12.75">
      <c r="A31" s="1">
        <v>1986</v>
      </c>
      <c r="B31" s="29">
        <v>4.87</v>
      </c>
      <c r="C31" s="29">
        <v>9</v>
      </c>
      <c r="D31" s="29">
        <v>11.98</v>
      </c>
      <c r="G31" s="1">
        <f t="shared" si="11"/>
        <v>191.0076530612245</v>
      </c>
      <c r="H31" s="1">
        <f t="shared" si="10"/>
        <v>0.5411111111111111</v>
      </c>
      <c r="I31" s="27">
        <f t="shared" si="12"/>
        <v>191.0076530612245</v>
      </c>
      <c r="J31" s="25">
        <f t="shared" si="13"/>
        <v>43.482142857142854</v>
      </c>
      <c r="K31" s="32">
        <f t="shared" si="14"/>
        <v>133.70535714285714</v>
      </c>
      <c r="L31" s="39">
        <f t="shared" si="15"/>
        <v>90.22321428571428</v>
      </c>
      <c r="M31" s="41">
        <f t="shared" si="16"/>
        <v>0.5613888888888888</v>
      </c>
      <c r="N31" s="49">
        <f t="shared" si="17"/>
        <v>77.64668367346938</v>
      </c>
      <c r="O31" s="63">
        <f t="shared" si="18"/>
        <v>0.7512520868113522</v>
      </c>
      <c r="P31" s="55">
        <f t="shared" si="19"/>
        <v>0.7428075396825397</v>
      </c>
      <c r="Q31" s="69">
        <v>180</v>
      </c>
    </row>
    <row r="32" spans="1:17" ht="12.75">
      <c r="A32" s="1">
        <v>1987</v>
      </c>
      <c r="B32" s="29">
        <v>4.35</v>
      </c>
      <c r="C32" s="29">
        <v>7.77</v>
      </c>
      <c r="D32" s="29">
        <v>7.73</v>
      </c>
      <c r="G32" s="1">
        <f t="shared" si="11"/>
        <v>123.88392857142856</v>
      </c>
      <c r="H32" s="1">
        <f t="shared" si="10"/>
        <v>0.5598455598455598</v>
      </c>
      <c r="I32" s="27">
        <f t="shared" si="12"/>
        <v>123.88392857142856</v>
      </c>
      <c r="J32" s="25">
        <f t="shared" si="13"/>
        <v>38.839285714285715</v>
      </c>
      <c r="K32" s="32">
        <f t="shared" si="14"/>
        <v>86.27232142857143</v>
      </c>
      <c r="L32" s="39">
        <f t="shared" si="15"/>
        <v>47.433035714285715</v>
      </c>
      <c r="M32" s="41">
        <f t="shared" si="16"/>
        <v>0.2951388888888889</v>
      </c>
      <c r="N32" s="49">
        <f t="shared" si="17"/>
        <v>69.35586734693877</v>
      </c>
      <c r="O32" s="63">
        <f t="shared" si="18"/>
        <v>1</v>
      </c>
      <c r="P32" s="55">
        <f t="shared" si="19"/>
        <v>0.4792906746031746</v>
      </c>
      <c r="Q32" s="69">
        <v>180</v>
      </c>
    </row>
    <row r="33" spans="1:17" ht="12.75">
      <c r="A33" s="1">
        <v>1988</v>
      </c>
      <c r="B33" s="29">
        <v>3.83</v>
      </c>
      <c r="C33" s="29">
        <v>5.64</v>
      </c>
      <c r="D33" s="29">
        <v>6.99</v>
      </c>
      <c r="G33" s="1">
        <f t="shared" si="11"/>
        <v>111.44770408163264</v>
      </c>
      <c r="H33" s="1">
        <f t="shared" si="10"/>
        <v>0.6790780141843972</v>
      </c>
      <c r="I33" s="27">
        <f t="shared" si="12"/>
        <v>111.44770408163264</v>
      </c>
      <c r="J33" s="25">
        <f t="shared" si="13"/>
        <v>34.19642857142857</v>
      </c>
      <c r="K33" s="32">
        <f t="shared" si="14"/>
        <v>78.01339285714285</v>
      </c>
      <c r="L33" s="39">
        <f t="shared" si="15"/>
        <v>43.81696428571428</v>
      </c>
      <c r="M33" s="41">
        <f t="shared" si="16"/>
        <v>0.2726388888888889</v>
      </c>
      <c r="N33" s="49">
        <f t="shared" si="17"/>
        <v>61.065051020408156</v>
      </c>
      <c r="O33" s="63">
        <f t="shared" si="18"/>
        <v>0.8068669527896996</v>
      </c>
      <c r="P33" s="55">
        <f t="shared" si="19"/>
        <v>0.433407738095238</v>
      </c>
      <c r="Q33" s="69">
        <v>180</v>
      </c>
    </row>
    <row r="34" spans="1:17" ht="12.75">
      <c r="A34" s="1">
        <v>1989</v>
      </c>
      <c r="B34" s="29">
        <v>3.62</v>
      </c>
      <c r="C34" s="29">
        <v>7.83</v>
      </c>
      <c r="D34" s="29">
        <v>7.88</v>
      </c>
      <c r="G34" s="1">
        <f t="shared" si="11"/>
        <v>125.63775510204081</v>
      </c>
      <c r="H34" s="1">
        <f t="shared" si="10"/>
        <v>0.46232439335887615</v>
      </c>
      <c r="I34" s="27">
        <f t="shared" si="12"/>
        <v>125.63775510204081</v>
      </c>
      <c r="J34" s="25">
        <f t="shared" si="13"/>
        <v>32.32142857142857</v>
      </c>
      <c r="K34" s="32">
        <f t="shared" si="14"/>
        <v>87.94642857142857</v>
      </c>
      <c r="L34" s="39">
        <f t="shared" si="15"/>
        <v>55.625</v>
      </c>
      <c r="M34" s="41">
        <f t="shared" si="16"/>
        <v>0.3461111111111111</v>
      </c>
      <c r="N34" s="49">
        <f t="shared" si="17"/>
        <v>57.71683673469387</v>
      </c>
      <c r="O34" s="63">
        <f t="shared" si="18"/>
        <v>0.9936548223350254</v>
      </c>
      <c r="P34" s="55">
        <f t="shared" si="19"/>
        <v>0.4885912698412698</v>
      </c>
      <c r="Q34" s="69">
        <v>180</v>
      </c>
    </row>
    <row r="35" spans="1:17" ht="12.75">
      <c r="A35" s="1">
        <v>1990</v>
      </c>
      <c r="B35" s="29">
        <v>4.45</v>
      </c>
      <c r="C35" s="29">
        <v>6.98</v>
      </c>
      <c r="D35" s="29">
        <v>7.23</v>
      </c>
      <c r="G35" s="1">
        <f t="shared" si="11"/>
        <v>115.27423469387755</v>
      </c>
      <c r="H35" s="1">
        <f t="shared" si="10"/>
        <v>0.6375358166189111</v>
      </c>
      <c r="I35" s="27">
        <f t="shared" si="12"/>
        <v>115.27423469387755</v>
      </c>
      <c r="J35" s="25">
        <f t="shared" si="13"/>
        <v>39.732142857142854</v>
      </c>
      <c r="K35" s="32">
        <f t="shared" si="14"/>
        <v>80.69196428571428</v>
      </c>
      <c r="L35" s="39">
        <f t="shared" si="15"/>
        <v>40.95982142857142</v>
      </c>
      <c r="M35" s="41">
        <f t="shared" si="16"/>
        <v>0.2548611111111111</v>
      </c>
      <c r="N35" s="49">
        <f t="shared" si="17"/>
        <v>70.95025510204081</v>
      </c>
      <c r="O35" s="63">
        <f t="shared" si="18"/>
        <v>0.9654218533886584</v>
      </c>
      <c r="P35" s="55">
        <f t="shared" si="19"/>
        <v>0.4482886904761904</v>
      </c>
      <c r="Q35" s="69">
        <v>180</v>
      </c>
    </row>
    <row r="36" spans="1:17" ht="12.75">
      <c r="A36" s="1">
        <v>1991</v>
      </c>
      <c r="B36" s="29">
        <v>4.17</v>
      </c>
      <c r="C36" s="29">
        <v>7.77</v>
      </c>
      <c r="D36" s="29">
        <v>7.47</v>
      </c>
      <c r="G36" s="1">
        <f t="shared" si="11"/>
        <v>123.88392857142856</v>
      </c>
      <c r="H36" s="1">
        <f t="shared" si="10"/>
        <v>0.5366795366795367</v>
      </c>
      <c r="I36" s="27">
        <f t="shared" si="12"/>
        <v>123.88392857142856</v>
      </c>
      <c r="J36" s="25">
        <f t="shared" si="13"/>
        <v>37.232142857142854</v>
      </c>
      <c r="K36" s="32">
        <f t="shared" si="14"/>
        <v>83.37053571428572</v>
      </c>
      <c r="L36" s="39">
        <f t="shared" si="15"/>
        <v>46.13839285714287</v>
      </c>
      <c r="M36" s="41">
        <f t="shared" si="16"/>
        <v>0.2870833333333333</v>
      </c>
      <c r="N36" s="49">
        <f t="shared" si="17"/>
        <v>66.48596938775509</v>
      </c>
      <c r="O36" s="63">
        <f t="shared" si="18"/>
        <v>1</v>
      </c>
      <c r="P36" s="55">
        <f t="shared" si="19"/>
        <v>0.4631696428571429</v>
      </c>
      <c r="Q36" s="69">
        <v>180</v>
      </c>
    </row>
    <row r="37" spans="1:17" ht="12.75">
      <c r="A37" s="1">
        <v>1992</v>
      </c>
      <c r="B37" s="29">
        <v>5.12</v>
      </c>
      <c r="C37" s="29">
        <v>9.93</v>
      </c>
      <c r="D37" s="29">
        <v>11.11</v>
      </c>
      <c r="G37" s="1">
        <f t="shared" si="11"/>
        <v>177.13647959183672</v>
      </c>
      <c r="H37" s="1">
        <f t="shared" si="10"/>
        <v>0.5156092648539778</v>
      </c>
      <c r="I37" s="27">
        <f t="shared" si="12"/>
        <v>177.13647959183672</v>
      </c>
      <c r="J37" s="25">
        <f t="shared" si="13"/>
        <v>45.71428571428571</v>
      </c>
      <c r="K37" s="32">
        <f t="shared" si="14"/>
        <v>123.99553571428572</v>
      </c>
      <c r="L37" s="39">
        <f t="shared" si="15"/>
        <v>78.28125000000001</v>
      </c>
      <c r="M37" s="41">
        <f t="shared" si="16"/>
        <v>0.4870833333333333</v>
      </c>
      <c r="N37" s="49">
        <f t="shared" si="17"/>
        <v>81.63265306122447</v>
      </c>
      <c r="O37" s="63">
        <f t="shared" si="18"/>
        <v>0.8937893789378938</v>
      </c>
      <c r="P37" s="55">
        <f t="shared" si="19"/>
        <v>0.6888640873015873</v>
      </c>
      <c r="Q37" s="69">
        <v>180</v>
      </c>
    </row>
    <row r="38" spans="1:17" ht="12.75">
      <c r="A38" s="1">
        <v>1993</v>
      </c>
      <c r="B38" s="29">
        <v>3.74</v>
      </c>
      <c r="C38" s="29">
        <v>7.55</v>
      </c>
      <c r="D38" s="29">
        <v>8.93</v>
      </c>
      <c r="G38" s="1">
        <f t="shared" si="11"/>
        <v>142.37882653061223</v>
      </c>
      <c r="H38" s="1">
        <f t="shared" si="10"/>
        <v>0.49536423841059607</v>
      </c>
      <c r="I38" s="27">
        <f t="shared" si="12"/>
        <v>142.37882653061223</v>
      </c>
      <c r="J38" s="25">
        <f t="shared" si="13"/>
        <v>33.39285714285714</v>
      </c>
      <c r="K38" s="32">
        <f t="shared" si="14"/>
        <v>99.66517857142857</v>
      </c>
      <c r="L38" s="39">
        <f t="shared" si="15"/>
        <v>66.27232142857143</v>
      </c>
      <c r="M38" s="41">
        <f t="shared" si="16"/>
        <v>0.41236111111111107</v>
      </c>
      <c r="N38" s="49">
        <f t="shared" si="17"/>
        <v>59.63010204081632</v>
      </c>
      <c r="O38" s="63">
        <f t="shared" si="18"/>
        <v>0.845464725643897</v>
      </c>
      <c r="P38" s="55">
        <f t="shared" si="19"/>
        <v>0.5536954365079365</v>
      </c>
      <c r="Q38" s="69">
        <v>180</v>
      </c>
    </row>
    <row r="39" spans="1:17" ht="12.75">
      <c r="A39" s="1">
        <v>1994</v>
      </c>
      <c r="B39" s="29">
        <v>4.15</v>
      </c>
      <c r="C39" s="29">
        <v>8.13</v>
      </c>
      <c r="D39" s="29">
        <v>10.57</v>
      </c>
      <c r="G39" s="1">
        <f t="shared" si="11"/>
        <v>168.52678571428572</v>
      </c>
      <c r="H39" s="1">
        <f t="shared" si="10"/>
        <v>0.5104551045510455</v>
      </c>
      <c r="I39" s="27">
        <f t="shared" si="12"/>
        <v>168.52678571428572</v>
      </c>
      <c r="J39" s="25">
        <f t="shared" si="13"/>
        <v>37.05357142857143</v>
      </c>
      <c r="K39" s="32">
        <f t="shared" si="14"/>
        <v>117.96875</v>
      </c>
      <c r="L39" s="39">
        <f t="shared" si="15"/>
        <v>80.91517857142857</v>
      </c>
      <c r="M39" s="41">
        <f t="shared" si="16"/>
        <v>0.5034722222222222</v>
      </c>
      <c r="N39" s="49">
        <f t="shared" si="17"/>
        <v>66.16709183673468</v>
      </c>
      <c r="O39" s="63">
        <f t="shared" si="18"/>
        <v>0.7691579943235572</v>
      </c>
      <c r="P39" s="55">
        <f t="shared" si="19"/>
        <v>0.6553819444444444</v>
      </c>
      <c r="Q39" s="69">
        <v>180</v>
      </c>
    </row>
    <row r="40" spans="1:17" ht="12.75">
      <c r="A40" s="1">
        <v>1996</v>
      </c>
      <c r="B40" s="29">
        <v>5.6</v>
      </c>
      <c r="C40" s="29">
        <v>8.76</v>
      </c>
      <c r="D40" s="29">
        <v>9.25</v>
      </c>
      <c r="G40" s="1">
        <f t="shared" si="11"/>
        <v>147.48086734693877</v>
      </c>
      <c r="H40" s="1">
        <f t="shared" si="10"/>
        <v>0.639269406392694</v>
      </c>
      <c r="I40" s="27">
        <f t="shared" si="12"/>
        <v>147.48086734693877</v>
      </c>
      <c r="J40" s="25">
        <f aca="true" t="shared" si="20" ref="J40:J48">(B40*1000/1.12*0.01)</f>
        <v>49.99999999999999</v>
      </c>
      <c r="K40" s="32">
        <f t="shared" si="14"/>
        <v>103.23660714285714</v>
      </c>
      <c r="L40" s="39">
        <f aca="true" t="shared" si="21" ref="L40:L48">K40-J40</f>
        <v>53.236607142857146</v>
      </c>
      <c r="M40" s="41">
        <f t="shared" si="16"/>
        <v>0.33125</v>
      </c>
      <c r="N40" s="49">
        <f aca="true" t="shared" si="22" ref="N40:N48">B40*1000/1.12/56</f>
        <v>89.28571428571426</v>
      </c>
      <c r="O40" s="63">
        <f aca="true" t="shared" si="23" ref="O40:O48">C40/(MAX(C40:D40))</f>
        <v>0.947027027027027</v>
      </c>
      <c r="P40" s="55">
        <f t="shared" si="19"/>
        <v>0.5735367063492063</v>
      </c>
      <c r="Q40" s="69">
        <v>180</v>
      </c>
    </row>
    <row r="41" spans="1:17" ht="12.75">
      <c r="A41" s="1">
        <v>1997</v>
      </c>
      <c r="B41" s="29">
        <v>2.36</v>
      </c>
      <c r="C41" s="29">
        <v>8.71</v>
      </c>
      <c r="D41" s="29">
        <v>8.68</v>
      </c>
      <c r="G41" s="1">
        <f t="shared" si="11"/>
        <v>138.87117346938774</v>
      </c>
      <c r="H41" s="1">
        <f t="shared" si="10"/>
        <v>0.27095292766934553</v>
      </c>
      <c r="I41" s="27">
        <f t="shared" si="12"/>
        <v>138.87117346938774</v>
      </c>
      <c r="J41" s="25">
        <f t="shared" si="20"/>
        <v>21.07142857142857</v>
      </c>
      <c r="K41" s="32">
        <f t="shared" si="14"/>
        <v>96.875</v>
      </c>
      <c r="L41" s="39">
        <f t="shared" si="21"/>
        <v>75.80357142857143</v>
      </c>
      <c r="M41" s="41">
        <f t="shared" si="16"/>
        <v>0.4716666666666667</v>
      </c>
      <c r="N41" s="49">
        <f t="shared" si="22"/>
        <v>37.627551020408156</v>
      </c>
      <c r="O41" s="63">
        <f t="shared" si="23"/>
        <v>1</v>
      </c>
      <c r="P41" s="55">
        <f t="shared" si="19"/>
        <v>0.5381944444444444</v>
      </c>
      <c r="Q41" s="69">
        <v>180</v>
      </c>
    </row>
    <row r="42" spans="1:17" ht="12.75">
      <c r="A42" s="1">
        <v>1998</v>
      </c>
      <c r="B42" s="29">
        <v>2.63</v>
      </c>
      <c r="C42" s="29">
        <v>8.07</v>
      </c>
      <c r="D42" s="29">
        <v>9.5</v>
      </c>
      <c r="G42" s="1">
        <f t="shared" si="11"/>
        <v>151.46683673469389</v>
      </c>
      <c r="H42" s="1">
        <f t="shared" si="10"/>
        <v>0.3258983890954151</v>
      </c>
      <c r="I42" s="27">
        <f t="shared" si="12"/>
        <v>151.46683673469389</v>
      </c>
      <c r="J42" s="25">
        <f t="shared" si="20"/>
        <v>23.482142857142854</v>
      </c>
      <c r="K42" s="32">
        <f t="shared" si="14"/>
        <v>106.02678571428572</v>
      </c>
      <c r="L42" s="39">
        <f t="shared" si="21"/>
        <v>82.54464285714286</v>
      </c>
      <c r="M42" s="41">
        <f t="shared" si="16"/>
        <v>0.5136111111111111</v>
      </c>
      <c r="N42" s="49">
        <f t="shared" si="22"/>
        <v>41.93239795918367</v>
      </c>
      <c r="O42" s="63">
        <f t="shared" si="23"/>
        <v>0.8494736842105264</v>
      </c>
      <c r="P42" s="55">
        <f t="shared" si="19"/>
        <v>0.5890376984126985</v>
      </c>
      <c r="Q42" s="69">
        <v>180</v>
      </c>
    </row>
    <row r="43" spans="1:17" ht="12.75">
      <c r="A43" s="1">
        <v>1999</v>
      </c>
      <c r="B43" s="29">
        <v>3.87</v>
      </c>
      <c r="C43" s="29">
        <v>9.33</v>
      </c>
      <c r="D43" s="29">
        <v>10.08</v>
      </c>
      <c r="G43" s="1">
        <f t="shared" si="11"/>
        <v>160.71428571428572</v>
      </c>
      <c r="H43" s="1">
        <f t="shared" si="10"/>
        <v>0.41479099678456594</v>
      </c>
      <c r="I43" s="27">
        <f t="shared" si="12"/>
        <v>160.71428571428572</v>
      </c>
      <c r="J43" s="25">
        <f t="shared" si="20"/>
        <v>34.55357142857143</v>
      </c>
      <c r="K43" s="32">
        <f t="shared" si="14"/>
        <v>112.5</v>
      </c>
      <c r="L43" s="39">
        <f t="shared" si="21"/>
        <v>77.94642857142857</v>
      </c>
      <c r="M43" s="41">
        <f t="shared" si="16"/>
        <v>0.485</v>
      </c>
      <c r="N43" s="49">
        <f t="shared" si="22"/>
        <v>61.702806122448976</v>
      </c>
      <c r="O43" s="63">
        <f t="shared" si="23"/>
        <v>0.9255952380952381</v>
      </c>
      <c r="P43" s="55">
        <f t="shared" si="19"/>
        <v>0.625</v>
      </c>
      <c r="Q43" s="69">
        <v>180</v>
      </c>
    </row>
    <row r="44" spans="1:17" ht="12.75">
      <c r="A44" s="1">
        <v>2000</v>
      </c>
      <c r="B44" s="29">
        <v>3.44</v>
      </c>
      <c r="C44" s="29">
        <v>6.92</v>
      </c>
      <c r="D44" s="29">
        <v>7.2</v>
      </c>
      <c r="G44" s="1">
        <f t="shared" si="11"/>
        <v>114.79591836734691</v>
      </c>
      <c r="H44" s="1">
        <f t="shared" si="10"/>
        <v>0.49710982658959535</v>
      </c>
      <c r="I44" s="27">
        <f t="shared" si="12"/>
        <v>114.79591836734691</v>
      </c>
      <c r="J44" s="25">
        <f t="shared" si="20"/>
        <v>30.71428571428571</v>
      </c>
      <c r="K44" s="32">
        <f t="shared" si="14"/>
        <v>80.35714285714285</v>
      </c>
      <c r="L44" s="39">
        <f t="shared" si="21"/>
        <v>49.64285714285714</v>
      </c>
      <c r="M44" s="41">
        <f t="shared" si="16"/>
        <v>0.3088888888888889</v>
      </c>
      <c r="N44" s="49">
        <f t="shared" si="22"/>
        <v>54.846938775510196</v>
      </c>
      <c r="O44" s="63">
        <f t="shared" si="23"/>
        <v>0.961111111111111</v>
      </c>
      <c r="P44" s="55">
        <f t="shared" si="19"/>
        <v>0.4464285714285714</v>
      </c>
      <c r="Q44" s="69">
        <v>180</v>
      </c>
    </row>
    <row r="45" spans="1:17" ht="12.75">
      <c r="A45" s="1">
        <v>2001</v>
      </c>
      <c r="B45" s="29">
        <v>4.06</v>
      </c>
      <c r="C45" s="29">
        <v>7</v>
      </c>
      <c r="D45" s="29">
        <v>7.57</v>
      </c>
      <c r="G45" s="1">
        <f t="shared" si="11"/>
        <v>120.69515306122447</v>
      </c>
      <c r="H45" s="1">
        <f t="shared" si="10"/>
        <v>0.58</v>
      </c>
      <c r="I45" s="27">
        <f t="shared" si="12"/>
        <v>120.69515306122447</v>
      </c>
      <c r="J45" s="25">
        <f t="shared" si="20"/>
        <v>36.24999999999999</v>
      </c>
      <c r="K45" s="32">
        <f t="shared" si="14"/>
        <v>84.48660714285714</v>
      </c>
      <c r="L45" s="39">
        <f t="shared" si="21"/>
        <v>48.236607142857146</v>
      </c>
      <c r="M45" s="41">
        <f t="shared" si="16"/>
        <v>0.3001388888888889</v>
      </c>
      <c r="N45" s="49">
        <f t="shared" si="22"/>
        <v>64.73214285714285</v>
      </c>
      <c r="O45" s="63">
        <f t="shared" si="23"/>
        <v>0.9247027741083222</v>
      </c>
      <c r="P45" s="55">
        <f t="shared" si="19"/>
        <v>0.46937003968253965</v>
      </c>
      <c r="Q45" s="69">
        <v>180</v>
      </c>
    </row>
    <row r="46" spans="1:17" ht="12.75">
      <c r="A46" s="1">
        <v>2002</v>
      </c>
      <c r="B46" s="29">
        <v>2.82</v>
      </c>
      <c r="C46" s="29">
        <v>6.96</v>
      </c>
      <c r="D46" s="29">
        <v>6.46</v>
      </c>
      <c r="G46" s="1">
        <f t="shared" si="11"/>
        <v>110.96938775510203</v>
      </c>
      <c r="H46" s="1">
        <f t="shared" si="10"/>
        <v>0.4051724137931034</v>
      </c>
      <c r="I46" s="27">
        <f t="shared" si="12"/>
        <v>110.96938775510203</v>
      </c>
      <c r="J46" s="25">
        <f t="shared" si="20"/>
        <v>25.178571428571427</v>
      </c>
      <c r="K46" s="32">
        <f t="shared" si="14"/>
        <v>72.09821428571428</v>
      </c>
      <c r="L46" s="39">
        <f t="shared" si="21"/>
        <v>46.91964285714285</v>
      </c>
      <c r="M46" s="41">
        <f t="shared" si="16"/>
        <v>0.29194444444444445</v>
      </c>
      <c r="N46" s="49">
        <f t="shared" si="22"/>
        <v>44.961734693877546</v>
      </c>
      <c r="O46" s="63">
        <f t="shared" si="23"/>
        <v>1</v>
      </c>
      <c r="P46" s="55">
        <f t="shared" si="19"/>
        <v>0.4005456349206349</v>
      </c>
      <c r="Q46" s="69">
        <v>180</v>
      </c>
    </row>
    <row r="47" spans="1:17" ht="12.75">
      <c r="A47" s="1">
        <v>2003</v>
      </c>
      <c r="B47" s="65">
        <v>5.376654816568047</v>
      </c>
      <c r="C47" s="65">
        <v>9.734453562130177</v>
      </c>
      <c r="D47" s="65">
        <v>10.05076730177515</v>
      </c>
      <c r="G47" s="1">
        <f t="shared" si="11"/>
        <v>160.24820315330274</v>
      </c>
      <c r="H47" s="1">
        <f t="shared" si="10"/>
        <v>0.5523324737491974</v>
      </c>
      <c r="I47" s="27">
        <f t="shared" si="12"/>
        <v>160.24820315330274</v>
      </c>
      <c r="J47" s="25">
        <f t="shared" si="20"/>
        <v>48.00584657650042</v>
      </c>
      <c r="K47" s="32">
        <f t="shared" si="14"/>
        <v>112.17374220731193</v>
      </c>
      <c r="L47" s="39">
        <f t="shared" si="21"/>
        <v>64.16789563081151</v>
      </c>
      <c r="M47" s="41">
        <f t="shared" si="16"/>
        <v>0.3992669061472717</v>
      </c>
      <c r="N47" s="49">
        <f t="shared" si="22"/>
        <v>85.72472602946503</v>
      </c>
      <c r="O47" s="63">
        <f t="shared" si="23"/>
        <v>0.9685283988627311</v>
      </c>
      <c r="P47" s="55">
        <f t="shared" si="19"/>
        <v>0.6231874567072885</v>
      </c>
      <c r="Q47" s="69">
        <v>180</v>
      </c>
    </row>
    <row r="48" spans="1:17" ht="12.75">
      <c r="A48" s="1">
        <v>2004</v>
      </c>
      <c r="B48" s="65">
        <v>3.9044628402366865</v>
      </c>
      <c r="C48" s="65">
        <v>11.088903550295859</v>
      </c>
      <c r="D48" s="65">
        <v>10.421280710059174</v>
      </c>
      <c r="G48" s="1">
        <f t="shared" si="11"/>
        <v>176.80012038099264</v>
      </c>
      <c r="H48" s="1">
        <f t="shared" si="10"/>
        <v>0.3521054018124734</v>
      </c>
      <c r="I48" s="27">
        <f t="shared" si="12"/>
        <v>176.80012038099264</v>
      </c>
      <c r="J48" s="25">
        <f t="shared" si="20"/>
        <v>34.861275359256126</v>
      </c>
      <c r="K48" s="32">
        <f t="shared" si="14"/>
        <v>116.30893649619614</v>
      </c>
      <c r="L48" s="39">
        <f t="shared" si="21"/>
        <v>81.44766113694001</v>
      </c>
      <c r="M48" s="41">
        <f t="shared" si="16"/>
        <v>0.5067854470742934</v>
      </c>
      <c r="N48" s="49">
        <f t="shared" si="22"/>
        <v>62.25227742724309</v>
      </c>
      <c r="O48" s="63">
        <f t="shared" si="23"/>
        <v>1</v>
      </c>
      <c r="P48" s="55">
        <f t="shared" si="19"/>
        <v>0.6461607583122008</v>
      </c>
      <c r="Q48" s="69">
        <v>180</v>
      </c>
    </row>
    <row r="49" spans="10:12" ht="12.75">
      <c r="J49" s="30" t="s">
        <v>9</v>
      </c>
      <c r="K49" s="33" t="s">
        <v>10</v>
      </c>
      <c r="L49" s="36" t="s">
        <v>2</v>
      </c>
    </row>
    <row r="50" spans="9:12" ht="12.75">
      <c r="I50" s="26" t="s">
        <v>12</v>
      </c>
      <c r="J50" s="29">
        <f>AVERAGE(J30:J48)</f>
        <v>36.94131468834808</v>
      </c>
      <c r="K50" s="32">
        <f>AVERAGE(K30:K48)</f>
        <v>99.49015978138766</v>
      </c>
      <c r="L50" s="39">
        <f>AVERAGE(L30:L48)</f>
        <v>62.54884509303955</v>
      </c>
    </row>
    <row r="51" spans="9:12" ht="12.75">
      <c r="I51" s="26" t="s">
        <v>13</v>
      </c>
      <c r="J51" s="29">
        <f>STDEV(J30:J48)</f>
        <v>8.950757932196248</v>
      </c>
      <c r="K51" s="32">
        <f>STDEV(K30:K48)</f>
        <v>17.86079783251086</v>
      </c>
      <c r="L51" s="39">
        <f>STDEV(L30:L48)</f>
        <v>16.013845614211604</v>
      </c>
    </row>
    <row r="52" spans="9:12" ht="12.75">
      <c r="I52" s="26" t="s">
        <v>11</v>
      </c>
      <c r="J52" s="29">
        <f>MIN(J30:J48)</f>
        <v>21.07142857142857</v>
      </c>
      <c r="K52" s="32">
        <f>MIN(K30:K48)</f>
        <v>72.09821428571428</v>
      </c>
      <c r="L52" s="39">
        <f>MIN(L30:L48)</f>
        <v>40.95982142857142</v>
      </c>
    </row>
    <row r="53" spans="9:12" ht="12.75">
      <c r="I53" s="26" t="s">
        <v>4</v>
      </c>
      <c r="J53" s="29">
        <f>MAX(J30:J48)</f>
        <v>55.80357142857142</v>
      </c>
      <c r="K53" s="32">
        <f>MAX(K30:K48)</f>
        <v>133.70535714285714</v>
      </c>
      <c r="L53" s="39">
        <f>MAX(L30:L48)</f>
        <v>90.22321428571428</v>
      </c>
    </row>
    <row r="54" spans="1:12" ht="12.75">
      <c r="A54" s="1" t="s">
        <v>39</v>
      </c>
      <c r="I54" s="1"/>
      <c r="J54" s="1"/>
      <c r="K54" s="1"/>
      <c r="L54" s="1"/>
    </row>
    <row r="55" spans="1:15" ht="12.75">
      <c r="A55" s="1">
        <v>1995</v>
      </c>
      <c r="B55" s="29">
        <v>1.02</v>
      </c>
      <c r="C55" s="29">
        <v>1.98</v>
      </c>
      <c r="D55" s="29">
        <v>3.84</v>
      </c>
      <c r="E55" s="1">
        <f>MAX(B55:D55)</f>
        <v>3.84</v>
      </c>
      <c r="G55" s="1">
        <f>B55/E55</f>
        <v>0.265625</v>
      </c>
      <c r="I55" s="27">
        <f>MAX(B55:E55)*1000/1.12/56</f>
        <v>61.224489795918366</v>
      </c>
      <c r="J55" s="25">
        <f>(B55*1000/1.12*0.01)</f>
        <v>9.107142857142858</v>
      </c>
      <c r="K55" s="32">
        <f>E55*1000/1.12*0.0125</f>
        <v>42.85714285714286</v>
      </c>
      <c r="L55" s="39">
        <f>K55-J55</f>
        <v>33.75</v>
      </c>
      <c r="M55" s="41">
        <f>((D55*1000*0.0125)-(B55*1000*0.01))/180</f>
        <v>0.21</v>
      </c>
      <c r="N55" s="49">
        <f>B55*1000/1.12/56</f>
        <v>16.262755102040817</v>
      </c>
      <c r="O55" s="63">
        <f>C55/(MAX(C55:D55))</f>
        <v>0.515625</v>
      </c>
    </row>
    <row r="56" ht="12.75">
      <c r="I56" s="26"/>
    </row>
    <row r="57" spans="2:3" ht="12.75">
      <c r="B57" s="2" t="s">
        <v>26</v>
      </c>
      <c r="C57" s="2"/>
    </row>
    <row r="58" spans="2:13" ht="12.75">
      <c r="B58" s="2" t="s">
        <v>8</v>
      </c>
      <c r="C58" s="2"/>
      <c r="G58" s="1" t="s">
        <v>34</v>
      </c>
      <c r="M58" s="42">
        <v>200</v>
      </c>
    </row>
    <row r="59" spans="2:16" ht="12.75">
      <c r="B59" s="2">
        <v>0</v>
      </c>
      <c r="C59" s="2">
        <v>50</v>
      </c>
      <c r="D59" s="2">
        <v>100</v>
      </c>
      <c r="E59" s="2">
        <v>150</v>
      </c>
      <c r="F59" s="2">
        <v>200</v>
      </c>
      <c r="G59" s="1" t="s">
        <v>4</v>
      </c>
      <c r="H59" s="1" t="s">
        <v>5</v>
      </c>
      <c r="I59" s="27" t="s">
        <v>20</v>
      </c>
      <c r="J59" s="30" t="s">
        <v>9</v>
      </c>
      <c r="K59" s="33" t="s">
        <v>10</v>
      </c>
      <c r="L59" s="36" t="s">
        <v>2</v>
      </c>
      <c r="M59" s="45" t="s">
        <v>31</v>
      </c>
      <c r="N59" s="50" t="s">
        <v>36</v>
      </c>
      <c r="O59" s="60"/>
      <c r="P59" s="56" t="s">
        <v>40</v>
      </c>
    </row>
    <row r="60" spans="1:17" ht="12.75">
      <c r="A60" s="1">
        <v>1993</v>
      </c>
      <c r="B60" s="29">
        <v>3.97</v>
      </c>
      <c r="C60" s="29">
        <v>5.8</v>
      </c>
      <c r="D60" s="29">
        <v>7.66</v>
      </c>
      <c r="E60" s="29">
        <v>8.05</v>
      </c>
      <c r="F60" s="29">
        <v>8.75</v>
      </c>
      <c r="G60" s="1">
        <f>(MAX(B60:F60))*1000/1.12/56</f>
        <v>139.50892857142856</v>
      </c>
      <c r="H60" s="1">
        <f>B60/(MAX(B60:E60))</f>
        <v>0.493167701863354</v>
      </c>
      <c r="I60" s="27">
        <f aca="true" t="shared" si="24" ref="I60:I72">MAX(B60:F60)*1000/1.12/56</f>
        <v>139.50892857142856</v>
      </c>
      <c r="J60" s="25">
        <f>(B60*1000/1.12*0.01)</f>
        <v>35.44642857142857</v>
      </c>
      <c r="K60" s="32">
        <f>E60*1000/1.12*0.0125</f>
        <v>89.84375</v>
      </c>
      <c r="L60" s="39">
        <f>K60-J60</f>
        <v>54.39732142857143</v>
      </c>
      <c r="M60" s="41">
        <f>((E60*1000*0.0125)-(B60*1000*0.01))/150</f>
        <v>0.40616666666666673</v>
      </c>
      <c r="N60" s="49">
        <f>B60*1000/1.12/56</f>
        <v>63.29719387755102</v>
      </c>
      <c r="O60" s="63">
        <f aca="true" t="shared" si="25" ref="O60:O72">C60/(MAX(C60:F60))</f>
        <v>0.6628571428571428</v>
      </c>
      <c r="P60" s="55">
        <f>(E60*1000/1.12*0.0125)/150</f>
        <v>0.5989583333333334</v>
      </c>
      <c r="Q60" s="69">
        <v>150</v>
      </c>
    </row>
    <row r="61" spans="1:17" ht="12.75">
      <c r="A61" s="1">
        <v>1994</v>
      </c>
      <c r="B61" s="29">
        <v>7.15</v>
      </c>
      <c r="C61" s="29">
        <v>7.92</v>
      </c>
      <c r="D61" s="29">
        <v>8.16</v>
      </c>
      <c r="E61" s="29">
        <v>7.9</v>
      </c>
      <c r="F61" s="29">
        <v>8.03</v>
      </c>
      <c r="G61" s="1">
        <f aca="true" t="shared" si="26" ref="G61:G72">(MAX(B61:F61))*1000/1.12/56</f>
        <v>130.10204081632654</v>
      </c>
      <c r="H61" s="1">
        <f aca="true" t="shared" si="27" ref="H61:H72">B61/(MAX(B61:E61))</f>
        <v>0.8762254901960784</v>
      </c>
      <c r="I61" s="27">
        <f t="shared" si="24"/>
        <v>130.10204081632654</v>
      </c>
      <c r="J61" s="25">
        <f aca="true" t="shared" si="28" ref="J61:J72">(B61*1000/1.12*0.01)</f>
        <v>63.83928571428571</v>
      </c>
      <c r="K61" s="32">
        <f aca="true" t="shared" si="29" ref="K61:K72">E61*1000/1.12*0.0125</f>
        <v>88.16964285714285</v>
      </c>
      <c r="L61" s="39">
        <f aca="true" t="shared" si="30" ref="L61:L69">K61-J61</f>
        <v>24.33035714285714</v>
      </c>
      <c r="M61" s="41">
        <f aca="true" t="shared" si="31" ref="M61:M72">((E61*1000*0.0125)-(B61*1000*0.01))/150</f>
        <v>0.18166666666666667</v>
      </c>
      <c r="N61" s="49">
        <f aca="true" t="shared" si="32" ref="N61:N72">B61*1000/1.12/56</f>
        <v>113.9987244897959</v>
      </c>
      <c r="O61" s="63">
        <f t="shared" si="25"/>
        <v>0.9705882352941176</v>
      </c>
      <c r="P61" s="55">
        <f aca="true" t="shared" si="33" ref="P61:P72">(E61*1000/1.12*0.0125)/150</f>
        <v>0.587797619047619</v>
      </c>
      <c r="Q61" s="69">
        <v>150</v>
      </c>
    </row>
    <row r="62" spans="1:17" ht="12.75">
      <c r="A62" s="1">
        <v>1995</v>
      </c>
      <c r="B62" s="29">
        <v>8.62</v>
      </c>
      <c r="C62" s="29">
        <v>10.33</v>
      </c>
      <c r="D62" s="29">
        <v>10.46</v>
      </c>
      <c r="E62" s="29">
        <v>10.59</v>
      </c>
      <c r="F62" s="29">
        <v>10.47</v>
      </c>
      <c r="G62" s="1">
        <f t="shared" si="26"/>
        <v>168.8456632653061</v>
      </c>
      <c r="H62" s="1">
        <f t="shared" si="27"/>
        <v>0.813975448536355</v>
      </c>
      <c r="I62" s="27">
        <f t="shared" si="24"/>
        <v>168.8456632653061</v>
      </c>
      <c r="J62" s="25">
        <f t="shared" si="28"/>
        <v>76.96428571428571</v>
      </c>
      <c r="K62" s="32">
        <f t="shared" si="29"/>
        <v>118.19196428571428</v>
      </c>
      <c r="L62" s="39">
        <f t="shared" si="30"/>
        <v>41.22767857142857</v>
      </c>
      <c r="M62" s="41">
        <f t="shared" si="31"/>
        <v>0.3078333333333333</v>
      </c>
      <c r="N62" s="49">
        <f t="shared" si="32"/>
        <v>137.4362244897959</v>
      </c>
      <c r="O62" s="63">
        <f t="shared" si="25"/>
        <v>0.9754485363550519</v>
      </c>
      <c r="P62" s="55">
        <f t="shared" si="33"/>
        <v>0.7879464285714285</v>
      </c>
      <c r="Q62" s="69">
        <v>150</v>
      </c>
    </row>
    <row r="63" spans="1:17" ht="12.75">
      <c r="A63" s="1">
        <v>1996</v>
      </c>
      <c r="B63" s="29">
        <v>8.77</v>
      </c>
      <c r="C63" s="29">
        <v>11.04</v>
      </c>
      <c r="D63" s="29">
        <v>12.29</v>
      </c>
      <c r="E63" s="29">
        <v>12.67</v>
      </c>
      <c r="F63" s="29">
        <v>12.82</v>
      </c>
      <c r="G63" s="1">
        <f t="shared" si="26"/>
        <v>204.40051020408163</v>
      </c>
      <c r="H63" s="1">
        <f t="shared" si="27"/>
        <v>0.6921862667719021</v>
      </c>
      <c r="I63" s="27">
        <f t="shared" si="24"/>
        <v>204.40051020408163</v>
      </c>
      <c r="J63" s="25">
        <f t="shared" si="28"/>
        <v>78.30357142857143</v>
      </c>
      <c r="K63" s="32">
        <f t="shared" si="29"/>
        <v>141.40624999999997</v>
      </c>
      <c r="L63" s="39">
        <f t="shared" si="30"/>
        <v>63.10267857142854</v>
      </c>
      <c r="M63" s="41">
        <f t="shared" si="31"/>
        <v>0.4711666666666666</v>
      </c>
      <c r="N63" s="49">
        <f t="shared" si="32"/>
        <v>139.82780612244898</v>
      </c>
      <c r="O63" s="63">
        <f t="shared" si="25"/>
        <v>0.861154446177847</v>
      </c>
      <c r="P63" s="55">
        <f t="shared" si="33"/>
        <v>0.9427083333333331</v>
      </c>
      <c r="Q63" s="69">
        <v>150</v>
      </c>
    </row>
    <row r="64" spans="1:17" ht="12.75">
      <c r="A64" s="1">
        <v>1997</v>
      </c>
      <c r="B64" s="29">
        <v>10.97</v>
      </c>
      <c r="C64" s="29">
        <v>12.35</v>
      </c>
      <c r="D64" s="29">
        <v>13</v>
      </c>
      <c r="E64" s="29">
        <v>13.4</v>
      </c>
      <c r="F64" s="29">
        <v>13.32</v>
      </c>
      <c r="G64" s="1">
        <f t="shared" si="26"/>
        <v>213.64795918367346</v>
      </c>
      <c r="H64" s="1">
        <f t="shared" si="27"/>
        <v>0.8186567164179105</v>
      </c>
      <c r="I64" s="27">
        <f t="shared" si="24"/>
        <v>213.64795918367346</v>
      </c>
      <c r="J64" s="25">
        <f t="shared" si="28"/>
        <v>97.94642857142857</v>
      </c>
      <c r="K64" s="32">
        <f t="shared" si="29"/>
        <v>149.55357142857142</v>
      </c>
      <c r="L64" s="39">
        <f t="shared" si="30"/>
        <v>51.60714285714285</v>
      </c>
      <c r="M64" s="41">
        <f t="shared" si="31"/>
        <v>0.3853333333333333</v>
      </c>
      <c r="N64" s="49">
        <f t="shared" si="32"/>
        <v>174.90433673469389</v>
      </c>
      <c r="O64" s="63">
        <f t="shared" si="25"/>
        <v>0.9216417910447761</v>
      </c>
      <c r="P64" s="55">
        <f t="shared" si="33"/>
        <v>0.9970238095238094</v>
      </c>
      <c r="Q64" s="69">
        <v>150</v>
      </c>
    </row>
    <row r="65" spans="1:17" ht="12.75">
      <c r="A65" s="1">
        <v>1998</v>
      </c>
      <c r="B65" s="29">
        <v>6.61</v>
      </c>
      <c r="C65" s="29">
        <v>9.2</v>
      </c>
      <c r="D65" s="29">
        <v>11.19</v>
      </c>
      <c r="E65" s="29">
        <v>11.84</v>
      </c>
      <c r="F65" s="29">
        <v>11.95</v>
      </c>
      <c r="G65" s="1">
        <f t="shared" si="26"/>
        <v>190.52933673469389</v>
      </c>
      <c r="H65" s="1">
        <f t="shared" si="27"/>
        <v>0.5582770270270271</v>
      </c>
      <c r="I65" s="27">
        <f t="shared" si="24"/>
        <v>190.52933673469389</v>
      </c>
      <c r="J65" s="25">
        <f t="shared" si="28"/>
        <v>59.01785714285714</v>
      </c>
      <c r="K65" s="32">
        <f t="shared" si="29"/>
        <v>132.14285714285714</v>
      </c>
      <c r="L65" s="39">
        <f t="shared" si="30"/>
        <v>73.125</v>
      </c>
      <c r="M65" s="41">
        <f t="shared" si="31"/>
        <v>0.546</v>
      </c>
      <c r="N65" s="49">
        <f t="shared" si="32"/>
        <v>105.3890306122449</v>
      </c>
      <c r="O65" s="63">
        <f t="shared" si="25"/>
        <v>0.7698744769874477</v>
      </c>
      <c r="P65" s="55">
        <f t="shared" si="33"/>
        <v>0.8809523809523809</v>
      </c>
      <c r="Q65" s="69">
        <v>150</v>
      </c>
    </row>
    <row r="66" spans="1:17" ht="12.75">
      <c r="A66" s="1">
        <v>1999</v>
      </c>
      <c r="B66" s="29">
        <v>7.85</v>
      </c>
      <c r="C66" s="29">
        <v>10.13</v>
      </c>
      <c r="D66" s="29">
        <v>11.3</v>
      </c>
      <c r="E66" s="29">
        <v>11.59</v>
      </c>
      <c r="F66" s="29">
        <v>11.96</v>
      </c>
      <c r="G66" s="1">
        <f t="shared" si="26"/>
        <v>190.68877551020407</v>
      </c>
      <c r="H66" s="1">
        <f t="shared" si="27"/>
        <v>0.6773080241587576</v>
      </c>
      <c r="I66" s="27">
        <f t="shared" si="24"/>
        <v>190.68877551020407</v>
      </c>
      <c r="J66" s="25">
        <f t="shared" si="28"/>
        <v>70.08928571428571</v>
      </c>
      <c r="K66" s="32">
        <f t="shared" si="29"/>
        <v>129.35267857142856</v>
      </c>
      <c r="L66" s="39">
        <f t="shared" si="30"/>
        <v>59.26339285714285</v>
      </c>
      <c r="M66" s="41">
        <f t="shared" si="31"/>
        <v>0.4425</v>
      </c>
      <c r="N66" s="49">
        <f t="shared" si="32"/>
        <v>125.1594387755102</v>
      </c>
      <c r="O66" s="63">
        <f t="shared" si="25"/>
        <v>0.846989966555184</v>
      </c>
      <c r="P66" s="55">
        <f t="shared" si="33"/>
        <v>0.8623511904761904</v>
      </c>
      <c r="Q66" s="69">
        <v>150</v>
      </c>
    </row>
    <row r="67" spans="1:17" ht="12.75">
      <c r="A67" s="1">
        <v>2000</v>
      </c>
      <c r="B67" s="29">
        <v>4.73</v>
      </c>
      <c r="C67" s="29">
        <v>9.15</v>
      </c>
      <c r="D67" s="29">
        <v>11.74</v>
      </c>
      <c r="E67" s="29">
        <v>12.07</v>
      </c>
      <c r="F67" s="29">
        <v>11.93</v>
      </c>
      <c r="G67" s="1">
        <f t="shared" si="26"/>
        <v>192.44260204081633</v>
      </c>
      <c r="H67" s="1">
        <f t="shared" si="27"/>
        <v>0.391880695940348</v>
      </c>
      <c r="I67" s="27">
        <f t="shared" si="24"/>
        <v>192.44260204081633</v>
      </c>
      <c r="J67" s="25">
        <f t="shared" si="28"/>
        <v>42.232142857142854</v>
      </c>
      <c r="K67" s="32">
        <f t="shared" si="29"/>
        <v>134.70982142857142</v>
      </c>
      <c r="L67" s="39">
        <f t="shared" si="30"/>
        <v>92.47767857142856</v>
      </c>
      <c r="M67" s="41">
        <f t="shared" si="31"/>
        <v>0.6904999999999999</v>
      </c>
      <c r="N67" s="49">
        <f t="shared" si="32"/>
        <v>75.41454081632652</v>
      </c>
      <c r="O67" s="63">
        <f t="shared" si="25"/>
        <v>0.7580778790389395</v>
      </c>
      <c r="P67" s="55">
        <f t="shared" si="33"/>
        <v>0.8980654761904762</v>
      </c>
      <c r="Q67" s="69">
        <v>150</v>
      </c>
    </row>
    <row r="68" spans="1:17" ht="12.75">
      <c r="A68" s="1">
        <v>2001</v>
      </c>
      <c r="B68" s="29">
        <v>3.51</v>
      </c>
      <c r="C68" s="29">
        <v>6.94</v>
      </c>
      <c r="D68" s="29">
        <v>9.16</v>
      </c>
      <c r="E68" s="29">
        <v>10.41</v>
      </c>
      <c r="F68" s="29">
        <v>10.7</v>
      </c>
      <c r="G68" s="1">
        <f t="shared" si="26"/>
        <v>170.59948979591834</v>
      </c>
      <c r="H68" s="1">
        <f t="shared" si="27"/>
        <v>0.3371757925072046</v>
      </c>
      <c r="I68" s="27">
        <f t="shared" si="24"/>
        <v>170.59948979591834</v>
      </c>
      <c r="J68" s="25">
        <f t="shared" si="28"/>
        <v>31.33928571428571</v>
      </c>
      <c r="K68" s="32">
        <f t="shared" si="29"/>
        <v>116.18303571428572</v>
      </c>
      <c r="L68" s="39">
        <f t="shared" si="30"/>
        <v>84.84375000000001</v>
      </c>
      <c r="M68" s="41">
        <f t="shared" si="31"/>
        <v>0.6335000000000001</v>
      </c>
      <c r="N68" s="49">
        <f t="shared" si="32"/>
        <v>55.96301020408163</v>
      </c>
      <c r="O68" s="63">
        <f t="shared" si="25"/>
        <v>0.6485981308411216</v>
      </c>
      <c r="P68" s="55">
        <f t="shared" si="33"/>
        <v>0.7745535714285715</v>
      </c>
      <c r="Q68" s="69">
        <v>150</v>
      </c>
    </row>
    <row r="69" spans="1:17" ht="12.75">
      <c r="A69" s="1">
        <v>2002</v>
      </c>
      <c r="B69" s="29">
        <v>4.93</v>
      </c>
      <c r="C69" s="29">
        <v>8.11</v>
      </c>
      <c r="D69" s="29">
        <v>10.2</v>
      </c>
      <c r="E69" s="29">
        <v>11.06</v>
      </c>
      <c r="F69" s="29">
        <v>11.54</v>
      </c>
      <c r="G69" s="1">
        <f t="shared" si="26"/>
        <v>183.99234693877548</v>
      </c>
      <c r="H69" s="1">
        <f t="shared" si="27"/>
        <v>0.445750452079566</v>
      </c>
      <c r="I69" s="27">
        <f t="shared" si="24"/>
        <v>183.99234693877548</v>
      </c>
      <c r="J69" s="25">
        <f t="shared" si="28"/>
        <v>44.01785714285714</v>
      </c>
      <c r="K69" s="32">
        <f t="shared" si="29"/>
        <v>123.43749999999999</v>
      </c>
      <c r="L69" s="39">
        <f t="shared" si="30"/>
        <v>79.41964285714285</v>
      </c>
      <c r="M69" s="41">
        <f t="shared" si="31"/>
        <v>0.593</v>
      </c>
      <c r="N69" s="49">
        <f t="shared" si="32"/>
        <v>78.6033163265306</v>
      </c>
      <c r="O69" s="63">
        <f t="shared" si="25"/>
        <v>0.7027729636048526</v>
      </c>
      <c r="P69" s="55">
        <f t="shared" si="33"/>
        <v>0.8229166666666665</v>
      </c>
      <c r="Q69" s="69">
        <v>150</v>
      </c>
    </row>
    <row r="70" spans="1:17" ht="12.75">
      <c r="A70" s="1">
        <v>2003</v>
      </c>
      <c r="B70" s="29">
        <v>3.707943537735849</v>
      </c>
      <c r="C70" s="29">
        <v>7.461808789308176</v>
      </c>
      <c r="D70" s="29">
        <v>10.586598113207547</v>
      </c>
      <c r="E70" s="29">
        <v>12.081301823899372</v>
      </c>
      <c r="F70" s="29">
        <v>12.113670330188679</v>
      </c>
      <c r="G70" s="1">
        <f t="shared" si="26"/>
        <v>193.13887643795724</v>
      </c>
      <c r="H70" s="1">
        <f t="shared" si="27"/>
        <v>0.3069158929876871</v>
      </c>
      <c r="I70" s="27">
        <f t="shared" si="24"/>
        <v>193.13887643795724</v>
      </c>
      <c r="J70" s="25">
        <f t="shared" si="28"/>
        <v>33.106638729784365</v>
      </c>
      <c r="K70" s="32">
        <f t="shared" si="29"/>
        <v>134.83595785601977</v>
      </c>
      <c r="L70" s="39">
        <f>K70-J70</f>
        <v>101.72931912623541</v>
      </c>
      <c r="M70" s="41">
        <f t="shared" si="31"/>
        <v>0.7595789161425578</v>
      </c>
      <c r="N70" s="49">
        <f t="shared" si="32"/>
        <v>59.118997731757794</v>
      </c>
      <c r="O70" s="63">
        <f t="shared" si="25"/>
        <v>0.6159824880418346</v>
      </c>
      <c r="P70" s="55">
        <f t="shared" si="33"/>
        <v>0.8989063857067985</v>
      </c>
      <c r="Q70" s="69">
        <v>150</v>
      </c>
    </row>
    <row r="71" spans="1:17" ht="12.75">
      <c r="A71" s="1">
        <v>2004</v>
      </c>
      <c r="B71" s="29">
        <v>5.238007279874213</v>
      </c>
      <c r="C71" s="29">
        <v>9.056190628930818</v>
      </c>
      <c r="D71" s="29">
        <v>11.524423270440252</v>
      </c>
      <c r="E71" s="29">
        <v>12.612085566037736</v>
      </c>
      <c r="F71" s="29">
        <v>13.671501808176101</v>
      </c>
      <c r="G71" s="1">
        <f t="shared" si="26"/>
        <v>217.97675076811382</v>
      </c>
      <c r="H71" s="1">
        <f t="shared" si="27"/>
        <v>0.41531650355903876</v>
      </c>
      <c r="I71" s="27">
        <f t="shared" si="24"/>
        <v>217.97675076811382</v>
      </c>
      <c r="J71" s="25">
        <f t="shared" si="28"/>
        <v>46.76792214173405</v>
      </c>
      <c r="K71" s="32">
        <f t="shared" si="29"/>
        <v>140.7598835495283</v>
      </c>
      <c r="L71" s="39">
        <f>K71-J71</f>
        <v>93.99196140779425</v>
      </c>
      <c r="M71" s="41">
        <f t="shared" si="31"/>
        <v>0.7018066451781972</v>
      </c>
      <c r="N71" s="49">
        <f t="shared" si="32"/>
        <v>83.51414668166794</v>
      </c>
      <c r="O71" s="63">
        <f t="shared" si="25"/>
        <v>0.6624137388852814</v>
      </c>
      <c r="P71" s="55">
        <f t="shared" si="33"/>
        <v>0.938399223663522</v>
      </c>
      <c r="Q71" s="69">
        <v>150</v>
      </c>
    </row>
    <row r="72" spans="1:17" ht="12.75">
      <c r="A72" s="1">
        <v>2005</v>
      </c>
      <c r="B72" s="29">
        <v>4.2473698113207545</v>
      </c>
      <c r="C72" s="29">
        <v>7.1825588993710685</v>
      </c>
      <c r="D72" s="29">
        <v>9.242886006289307</v>
      </c>
      <c r="E72" s="29">
        <v>10.168478301886793</v>
      </c>
      <c r="F72" s="29">
        <v>11.283681949685535</v>
      </c>
      <c r="G72" s="1">
        <f t="shared" si="26"/>
        <v>179.90564333044537</v>
      </c>
      <c r="H72" s="1">
        <f t="shared" si="27"/>
        <v>0.4176996483861938</v>
      </c>
      <c r="I72" s="27">
        <f t="shared" si="24"/>
        <v>179.90564333044537</v>
      </c>
      <c r="J72" s="25">
        <f t="shared" si="28"/>
        <v>37.922944743935304</v>
      </c>
      <c r="K72" s="32">
        <f t="shared" si="29"/>
        <v>113.48748104784366</v>
      </c>
      <c r="L72" s="39">
        <f>K72-J72</f>
        <v>75.56453630390835</v>
      </c>
      <c r="M72" s="41">
        <f t="shared" si="31"/>
        <v>0.5642152044025158</v>
      </c>
      <c r="N72" s="49">
        <f t="shared" si="32"/>
        <v>67.71954418559876</v>
      </c>
      <c r="O72" s="63">
        <f t="shared" si="25"/>
        <v>0.636543898649256</v>
      </c>
      <c r="P72" s="55">
        <f t="shared" si="33"/>
        <v>0.7565832069856244</v>
      </c>
      <c r="Q72" s="69">
        <v>150</v>
      </c>
    </row>
    <row r="73" spans="10:12" ht="12.75">
      <c r="J73" s="30" t="s">
        <v>9</v>
      </c>
      <c r="K73" s="33" t="s">
        <v>10</v>
      </c>
      <c r="L73" s="36" t="s">
        <v>2</v>
      </c>
    </row>
    <row r="74" spans="9:12" ht="12.75">
      <c r="I74" s="26" t="s">
        <v>12</v>
      </c>
      <c r="J74" s="29">
        <f>AVERAGE(J62:J72)</f>
        <v>56.155292718288</v>
      </c>
      <c r="K74" s="32">
        <f>AVERAGE(K62:K72)</f>
        <v>130.36918191134728</v>
      </c>
      <c r="L74" s="39">
        <f>AVERAGE(L62:L72)</f>
        <v>74.21388919305929</v>
      </c>
    </row>
    <row r="75" spans="9:12" ht="12.75">
      <c r="I75" s="26" t="s">
        <v>13</v>
      </c>
      <c r="J75" s="29">
        <f>STDEV(J62:J72)</f>
        <v>21.865948982004834</v>
      </c>
      <c r="K75" s="32">
        <f>STDEV(K62:K72)</f>
        <v>11.503774191510225</v>
      </c>
      <c r="L75" s="39">
        <f>STDEV(L62:L72)</f>
        <v>18.897280703621444</v>
      </c>
    </row>
    <row r="76" spans="9:12" ht="12.75">
      <c r="I76" s="26" t="s">
        <v>11</v>
      </c>
      <c r="J76" s="29">
        <f>MIN(J62:J72)</f>
        <v>31.33928571428571</v>
      </c>
      <c r="K76" s="32">
        <f>MIN(K62:K72)</f>
        <v>113.48748104784366</v>
      </c>
      <c r="L76" s="39">
        <f>MIN(L62:L72)</f>
        <v>41.22767857142857</v>
      </c>
    </row>
    <row r="77" spans="9:12" ht="12.75">
      <c r="I77" s="26" t="s">
        <v>4</v>
      </c>
      <c r="J77" s="29">
        <f>MAX(J62:J72)</f>
        <v>97.94642857142857</v>
      </c>
      <c r="K77" s="32">
        <f>MAX(K62:K72)</f>
        <v>149.55357142857142</v>
      </c>
      <c r="L77" s="39">
        <f>MAX(L62:L72)</f>
        <v>101.72931912623541</v>
      </c>
    </row>
    <row r="78" ht="12.75"/>
    <row r="79" ht="12.75"/>
    <row r="80" spans="2:3" ht="12.75">
      <c r="B80" s="2" t="s">
        <v>25</v>
      </c>
      <c r="C80" s="2"/>
    </row>
    <row r="81" spans="2:13" ht="12.75">
      <c r="B81" s="2" t="s">
        <v>24</v>
      </c>
      <c r="C81" s="2"/>
      <c r="M81" s="42">
        <v>180</v>
      </c>
    </row>
    <row r="82" spans="2:16" ht="12.75">
      <c r="B82" s="2">
        <v>40</v>
      </c>
      <c r="C82" s="2">
        <v>60</v>
      </c>
      <c r="D82" s="2">
        <v>120</v>
      </c>
      <c r="E82" s="2">
        <v>180</v>
      </c>
      <c r="F82" s="2">
        <v>240</v>
      </c>
      <c r="G82" s="1" t="s">
        <v>4</v>
      </c>
      <c r="H82" s="1" t="s">
        <v>5</v>
      </c>
      <c r="I82" s="26" t="s">
        <v>21</v>
      </c>
      <c r="J82" s="30" t="s">
        <v>17</v>
      </c>
      <c r="K82" s="33" t="s">
        <v>15</v>
      </c>
      <c r="L82" s="36" t="s">
        <v>2</v>
      </c>
      <c r="M82" s="45" t="s">
        <v>31</v>
      </c>
      <c r="N82" s="50" t="s">
        <v>36</v>
      </c>
      <c r="O82" s="60"/>
      <c r="P82" s="56" t="s">
        <v>40</v>
      </c>
    </row>
    <row r="83" spans="1:17" ht="12.75">
      <c r="A83" s="1">
        <v>1998</v>
      </c>
      <c r="B83" s="55">
        <v>156.2074285</v>
      </c>
      <c r="C83" s="55">
        <v>206.6695976</v>
      </c>
      <c r="D83" s="55">
        <v>228.8849205</v>
      </c>
      <c r="E83" s="55">
        <v>233.4124947</v>
      </c>
      <c r="F83" s="55">
        <v>231.5086487</v>
      </c>
      <c r="G83" s="1">
        <f>MAX(B83:F83)</f>
        <v>233.4124947</v>
      </c>
      <c r="H83" s="1">
        <f>B83/(MAX(B83:D83))</f>
        <v>0.6824714715096314</v>
      </c>
      <c r="I83" s="28">
        <f aca="true" t="shared" si="34" ref="I83:I90">MAX(B83:F83)</f>
        <v>233.4124947</v>
      </c>
      <c r="J83" s="25">
        <f>(B83*56*0.01)</f>
        <v>87.47615996</v>
      </c>
      <c r="K83" s="34">
        <f>D83*56*0.0125</f>
        <v>160.21944435</v>
      </c>
      <c r="L83" s="37">
        <f>K83-J83</f>
        <v>72.74328439</v>
      </c>
      <c r="M83" s="41">
        <f>((D83*56*0.0125)-(B83*56*0.01))/120</f>
        <v>0.6061940365833334</v>
      </c>
      <c r="N83" s="49">
        <f>B83</f>
        <v>156.2074285</v>
      </c>
      <c r="O83" s="63">
        <f aca="true" t="shared" si="35" ref="O83:O90">B83/(MAX(B83:F83))</f>
        <v>0.6692333617391392</v>
      </c>
      <c r="P83" s="57">
        <f>(D83*56*0.0125)/120</f>
        <v>1.33516203625</v>
      </c>
      <c r="Q83" s="69">
        <v>120</v>
      </c>
    </row>
    <row r="84" spans="1:17" ht="12.75">
      <c r="A84" s="1">
        <v>1999</v>
      </c>
      <c r="B84" s="55">
        <v>153.2458314</v>
      </c>
      <c r="C84" s="55">
        <v>155.2796394</v>
      </c>
      <c r="D84" s="55">
        <v>176.0171462</v>
      </c>
      <c r="E84" s="55">
        <v>179.3511244</v>
      </c>
      <c r="F84" s="55">
        <v>171.5240988</v>
      </c>
      <c r="G84" s="1">
        <f aca="true" t="shared" si="36" ref="G84:G90">MAX(B84:F84)</f>
        <v>179.3511244</v>
      </c>
      <c r="H84" s="1">
        <f aca="true" t="shared" si="37" ref="H84:H90">B84/(MAX(B84:D84))</f>
        <v>0.8706301329637167</v>
      </c>
      <c r="I84" s="28">
        <f t="shared" si="34"/>
        <v>179.3511244</v>
      </c>
      <c r="J84" s="25">
        <f aca="true" t="shared" si="38" ref="J84:J90">(B84*56*0.01)</f>
        <v>85.81766558399998</v>
      </c>
      <c r="K84" s="34">
        <f aca="true" t="shared" si="39" ref="K84:K90">D84*56*0.0125</f>
        <v>123.21200234000001</v>
      </c>
      <c r="L84" s="37">
        <f aca="true" t="shared" si="40" ref="L84:L90">K84-J84</f>
        <v>37.39433675600003</v>
      </c>
      <c r="M84" s="41">
        <f aca="true" t="shared" si="41" ref="M84:M90">((D84*56*0.0125)-(B84*56*0.01))/120</f>
        <v>0.3116194729666669</v>
      </c>
      <c r="N84" s="49">
        <f aca="true" t="shared" si="42" ref="N84:N90">B84</f>
        <v>153.2458314</v>
      </c>
      <c r="O84" s="63">
        <f t="shared" si="35"/>
        <v>0.8544458916143822</v>
      </c>
      <c r="P84" s="57">
        <f aca="true" t="shared" si="43" ref="P84:P90">(D84*56*0.0125)/120</f>
        <v>1.0267666861666667</v>
      </c>
      <c r="Q84" s="69">
        <v>120</v>
      </c>
    </row>
    <row r="85" spans="1:17" ht="12.75">
      <c r="A85" s="1">
        <v>2000</v>
      </c>
      <c r="B85" s="55">
        <v>146.8176712</v>
      </c>
      <c r="C85" s="55">
        <v>150.2831579</v>
      </c>
      <c r="D85" s="55">
        <v>150.3197366</v>
      </c>
      <c r="E85" s="55">
        <v>161.2224769</v>
      </c>
      <c r="F85" s="55">
        <v>159.8345916</v>
      </c>
      <c r="G85" s="1">
        <f t="shared" si="36"/>
        <v>161.2224769</v>
      </c>
      <c r="H85" s="1">
        <f t="shared" si="37"/>
        <v>0.9767025576334066</v>
      </c>
      <c r="I85" s="28">
        <f t="shared" si="34"/>
        <v>161.2224769</v>
      </c>
      <c r="J85" s="25">
        <f t="shared" si="38"/>
        <v>82.21789587200001</v>
      </c>
      <c r="K85" s="34">
        <f t="shared" si="39"/>
        <v>105.22381562000001</v>
      </c>
      <c r="L85" s="37">
        <f t="shared" si="40"/>
        <v>23.005919747999997</v>
      </c>
      <c r="M85" s="41">
        <f t="shared" si="41"/>
        <v>0.19171599789999996</v>
      </c>
      <c r="N85" s="49">
        <f t="shared" si="42"/>
        <v>146.8176712</v>
      </c>
      <c r="O85" s="63">
        <f t="shared" si="35"/>
        <v>0.9106526212909213</v>
      </c>
      <c r="P85" s="57">
        <f t="shared" si="43"/>
        <v>0.8768651301666668</v>
      </c>
      <c r="Q85" s="69">
        <v>120</v>
      </c>
    </row>
    <row r="86" spans="1:17" ht="12.75">
      <c r="A86" s="1">
        <v>2001</v>
      </c>
      <c r="B86" s="55">
        <v>148.9982549</v>
      </c>
      <c r="C86" s="55">
        <v>154.5586565</v>
      </c>
      <c r="D86" s="55">
        <v>176.1464785</v>
      </c>
      <c r="E86" s="55">
        <v>179.1155182</v>
      </c>
      <c r="F86" s="55">
        <v>185.1512599</v>
      </c>
      <c r="G86" s="1">
        <f t="shared" si="36"/>
        <v>185.1512599</v>
      </c>
      <c r="H86" s="1">
        <f t="shared" si="37"/>
        <v>0.8458770006009516</v>
      </c>
      <c r="I86" s="28">
        <f t="shared" si="34"/>
        <v>185.1512599</v>
      </c>
      <c r="J86" s="25">
        <f t="shared" si="38"/>
        <v>83.439022744</v>
      </c>
      <c r="K86" s="34">
        <f t="shared" si="39"/>
        <v>123.30253495</v>
      </c>
      <c r="L86" s="37">
        <f t="shared" si="40"/>
        <v>39.863512205999996</v>
      </c>
      <c r="M86" s="41">
        <f t="shared" si="41"/>
        <v>0.33219593504999995</v>
      </c>
      <c r="N86" s="49">
        <f t="shared" si="42"/>
        <v>148.9982549</v>
      </c>
      <c r="O86" s="63">
        <f t="shared" si="35"/>
        <v>0.8047380016775139</v>
      </c>
      <c r="P86" s="57">
        <f t="shared" si="43"/>
        <v>1.0275211245833333</v>
      </c>
      <c r="Q86" s="69">
        <v>120</v>
      </c>
    </row>
    <row r="87" spans="1:17" ht="12.75">
      <c r="A87" s="1">
        <v>2002</v>
      </c>
      <c r="B87" s="55">
        <v>79.64325167</v>
      </c>
      <c r="C87" s="55">
        <v>81.13577857</v>
      </c>
      <c r="D87" s="55">
        <v>94.17974275</v>
      </c>
      <c r="E87" s="55">
        <v>86.10616797</v>
      </c>
      <c r="F87" s="55">
        <v>86.13121086</v>
      </c>
      <c r="G87" s="1">
        <f t="shared" si="36"/>
        <v>94.17974275</v>
      </c>
      <c r="H87" s="1">
        <f t="shared" si="37"/>
        <v>0.8456516162017229</v>
      </c>
      <c r="I87" s="28">
        <f t="shared" si="34"/>
        <v>94.17974275</v>
      </c>
      <c r="J87" s="25">
        <f t="shared" si="38"/>
        <v>44.6002209352</v>
      </c>
      <c r="K87" s="34">
        <f t="shared" si="39"/>
        <v>65.925819925</v>
      </c>
      <c r="L87" s="37">
        <f t="shared" si="40"/>
        <v>21.3255989898</v>
      </c>
      <c r="M87" s="41">
        <f t="shared" si="41"/>
        <v>0.177713324915</v>
      </c>
      <c r="N87" s="49">
        <f t="shared" si="42"/>
        <v>79.64325167</v>
      </c>
      <c r="O87" s="63">
        <f t="shared" si="35"/>
        <v>0.8456516162017229</v>
      </c>
      <c r="P87" s="57">
        <f t="shared" si="43"/>
        <v>0.5493818327083333</v>
      </c>
      <c r="Q87" s="69">
        <v>120</v>
      </c>
    </row>
    <row r="88" spans="1:17" ht="12.75">
      <c r="A88" s="1">
        <v>2003</v>
      </c>
      <c r="B88" s="55">
        <v>135.001137</v>
      </c>
      <c r="C88" s="55">
        <v>149.1617288</v>
      </c>
      <c r="D88" s="55">
        <v>199.4601245</v>
      </c>
      <c r="E88" s="55">
        <v>233.7909584</v>
      </c>
      <c r="F88" s="55">
        <v>235.6736741</v>
      </c>
      <c r="G88" s="1">
        <f t="shared" si="36"/>
        <v>235.6736741</v>
      </c>
      <c r="H88" s="1">
        <f t="shared" si="37"/>
        <v>0.6768327119940206</v>
      </c>
      <c r="I88" s="28">
        <f t="shared" si="34"/>
        <v>235.6736741</v>
      </c>
      <c r="J88" s="25">
        <f t="shared" si="38"/>
        <v>75.60063672</v>
      </c>
      <c r="K88" s="34">
        <f t="shared" si="39"/>
        <v>139.62208715000003</v>
      </c>
      <c r="L88" s="37">
        <f t="shared" si="40"/>
        <v>64.02145043000003</v>
      </c>
      <c r="M88" s="41">
        <f t="shared" si="41"/>
        <v>0.533512086916667</v>
      </c>
      <c r="N88" s="49">
        <f t="shared" si="42"/>
        <v>135.001137</v>
      </c>
      <c r="O88" s="63">
        <f t="shared" si="35"/>
        <v>0.5728307903525827</v>
      </c>
      <c r="P88" s="57">
        <f t="shared" si="43"/>
        <v>1.163517392916667</v>
      </c>
      <c r="Q88" s="69">
        <v>120</v>
      </c>
    </row>
    <row r="89" spans="1:17" ht="12.75">
      <c r="A89" s="1">
        <v>2004</v>
      </c>
      <c r="B89" s="55">
        <v>187.6356935</v>
      </c>
      <c r="C89" s="55">
        <v>181.4037123</v>
      </c>
      <c r="D89" s="55">
        <v>190.8010497</v>
      </c>
      <c r="E89" s="55">
        <v>194.9232005</v>
      </c>
      <c r="F89" s="55">
        <v>193.6163823</v>
      </c>
      <c r="G89" s="1">
        <f t="shared" si="36"/>
        <v>194.9232005</v>
      </c>
      <c r="H89" s="1">
        <f t="shared" si="37"/>
        <v>0.9834101740793516</v>
      </c>
      <c r="I89" s="28">
        <f t="shared" si="34"/>
        <v>194.9232005</v>
      </c>
      <c r="J89" s="25">
        <f t="shared" si="38"/>
        <v>105.07598836000001</v>
      </c>
      <c r="K89" s="34">
        <f t="shared" si="39"/>
        <v>133.56073479</v>
      </c>
      <c r="L89" s="37">
        <f t="shared" si="40"/>
        <v>28.484746429999987</v>
      </c>
      <c r="M89" s="41">
        <f t="shared" si="41"/>
        <v>0.23737288691666655</v>
      </c>
      <c r="N89" s="49">
        <f t="shared" si="42"/>
        <v>187.6356935</v>
      </c>
      <c r="O89" s="63">
        <f t="shared" si="35"/>
        <v>0.9626134447756515</v>
      </c>
      <c r="P89" s="57">
        <f t="shared" si="43"/>
        <v>1.11300612325</v>
      </c>
      <c r="Q89" s="69">
        <v>120</v>
      </c>
    </row>
    <row r="90" spans="1:17" ht="12.75">
      <c r="A90" s="1">
        <v>2005</v>
      </c>
      <c r="B90" s="55">
        <v>161.8405107</v>
      </c>
      <c r="C90" s="55">
        <v>176.3195224</v>
      </c>
      <c r="D90" s="55">
        <v>188.6751796</v>
      </c>
      <c r="E90" s="55">
        <v>192.4996232</v>
      </c>
      <c r="F90" s="55">
        <v>192.7335576</v>
      </c>
      <c r="G90" s="1">
        <f t="shared" si="36"/>
        <v>192.7335576</v>
      </c>
      <c r="H90" s="1">
        <f t="shared" si="37"/>
        <v>0.8577731901096333</v>
      </c>
      <c r="I90" s="28">
        <f t="shared" si="34"/>
        <v>192.7335576</v>
      </c>
      <c r="J90" s="25">
        <f t="shared" si="38"/>
        <v>90.630685992</v>
      </c>
      <c r="K90" s="34">
        <f t="shared" si="39"/>
        <v>132.07262572</v>
      </c>
      <c r="L90" s="37">
        <f t="shared" si="40"/>
        <v>41.441939727999994</v>
      </c>
      <c r="M90" s="41">
        <f t="shared" si="41"/>
        <v>0.3453494977333333</v>
      </c>
      <c r="N90" s="49">
        <f t="shared" si="42"/>
        <v>161.8405107</v>
      </c>
      <c r="O90" s="63">
        <f t="shared" si="35"/>
        <v>0.8397111157771728</v>
      </c>
      <c r="P90" s="57">
        <f t="shared" si="43"/>
        <v>1.1006052143333334</v>
      </c>
      <c r="Q90" s="69">
        <v>120</v>
      </c>
    </row>
    <row r="91" spans="9:12" ht="12.75">
      <c r="I91" s="28"/>
      <c r="J91" s="25"/>
      <c r="K91" s="34"/>
      <c r="L91" s="37"/>
    </row>
    <row r="92" spans="9:12" ht="12.75">
      <c r="I92" s="28"/>
      <c r="J92" s="25"/>
      <c r="K92" s="34"/>
      <c r="L92" s="37"/>
    </row>
    <row r="93" spans="1:12" ht="12.75">
      <c r="A93" s="1" t="s">
        <v>16</v>
      </c>
      <c r="B93" s="1">
        <v>138.4498145</v>
      </c>
      <c r="C93" s="1">
        <v>148.2049918</v>
      </c>
      <c r="D93" s="1">
        <v>152.1100008</v>
      </c>
      <c r="E93" s="1">
        <v>150.7585482</v>
      </c>
      <c r="F93" s="1">
        <v>149.4421583</v>
      </c>
      <c r="I93" s="28"/>
      <c r="J93" s="25"/>
      <c r="K93" s="34"/>
      <c r="L93" s="37"/>
    </row>
    <row r="94" spans="10:12" ht="12.75">
      <c r="J94" s="30" t="s">
        <v>9</v>
      </c>
      <c r="K94" s="33" t="s">
        <v>10</v>
      </c>
      <c r="L94" s="36" t="s">
        <v>2</v>
      </c>
    </row>
    <row r="95" spans="9:12" ht="12.75">
      <c r="I95" s="26" t="s">
        <v>12</v>
      </c>
      <c r="J95" s="25">
        <f>AVERAGE(J83:J91)</f>
        <v>81.85728452090001</v>
      </c>
      <c r="K95" s="34">
        <f>AVERAGE(K83:K91)</f>
        <v>122.892383105625</v>
      </c>
      <c r="L95" s="38">
        <f>AVERAGE(L83:L91)</f>
        <v>41.035098584725006</v>
      </c>
    </row>
    <row r="96" spans="9:12" ht="12.75">
      <c r="I96" s="26" t="s">
        <v>13</v>
      </c>
      <c r="J96" s="25">
        <f>STDEV(J83:J91)</f>
        <v>17.292457173958674</v>
      </c>
      <c r="K96" s="34">
        <f>STDEV(K83:K91)</f>
        <v>27.848880611693872</v>
      </c>
      <c r="L96" s="38">
        <f>STDEV(L83:L91)</f>
        <v>18.591863436481216</v>
      </c>
    </row>
    <row r="97" spans="9:12" ht="12.75">
      <c r="I97" s="26" t="s">
        <v>11</v>
      </c>
      <c r="J97" s="25">
        <f>MIN(J83:J91)</f>
        <v>44.6002209352</v>
      </c>
      <c r="K97" s="34">
        <f>MIN(K83:K91)</f>
        <v>65.925819925</v>
      </c>
      <c r="L97" s="38">
        <f>MIN(L83:L91)</f>
        <v>21.3255989898</v>
      </c>
    </row>
    <row r="98" spans="9:12" ht="12.75">
      <c r="I98" s="26" t="s">
        <v>4</v>
      </c>
      <c r="J98" s="25">
        <f>MAX(J83:J91)</f>
        <v>105.07598836000001</v>
      </c>
      <c r="K98" s="34">
        <f>MAX(K83:K91)</f>
        <v>160.21944435</v>
      </c>
      <c r="L98" s="38">
        <f>MAX(L83:L91)</f>
        <v>72.74328439</v>
      </c>
    </row>
    <row r="99" spans="2:3" ht="12.75">
      <c r="B99" s="2" t="s">
        <v>27</v>
      </c>
      <c r="C99" s="2"/>
    </row>
    <row r="100" spans="2:13" ht="12.75">
      <c r="B100" s="2" t="s">
        <v>28</v>
      </c>
      <c r="C100" s="2"/>
      <c r="M100" s="42">
        <v>134</v>
      </c>
    </row>
    <row r="101" spans="1:16" ht="12.75">
      <c r="A101" s="1" t="s">
        <v>6</v>
      </c>
      <c r="B101" s="2">
        <v>0</v>
      </c>
      <c r="C101" s="2">
        <v>67</v>
      </c>
      <c r="D101" s="2">
        <v>134</v>
      </c>
      <c r="G101" s="1" t="s">
        <v>4</v>
      </c>
      <c r="H101" s="1" t="s">
        <v>5</v>
      </c>
      <c r="I101" s="27" t="s">
        <v>4</v>
      </c>
      <c r="J101" s="29" t="s">
        <v>32</v>
      </c>
      <c r="K101" s="33" t="s">
        <v>15</v>
      </c>
      <c r="L101" s="36" t="s">
        <v>2</v>
      </c>
      <c r="M101" s="45" t="s">
        <v>31</v>
      </c>
      <c r="N101" s="50" t="s">
        <v>36</v>
      </c>
      <c r="O101" s="60"/>
      <c r="P101" s="56" t="s">
        <v>40</v>
      </c>
    </row>
    <row r="102" spans="1:17" ht="12.75">
      <c r="A102" s="1">
        <v>1986</v>
      </c>
      <c r="B102" s="55">
        <v>166</v>
      </c>
      <c r="C102" s="55">
        <v>188</v>
      </c>
      <c r="D102" s="55">
        <v>191</v>
      </c>
      <c r="G102" s="1">
        <f>MAX(B102:D102)</f>
        <v>191</v>
      </c>
      <c r="H102" s="1">
        <f>B102/(MAX(B102:D102))</f>
        <v>0.8691099476439791</v>
      </c>
      <c r="I102" s="27">
        <f>MAX(B102:D102)</f>
        <v>191</v>
      </c>
      <c r="J102" s="25">
        <f>(B102*56*0.01)</f>
        <v>92.96000000000001</v>
      </c>
      <c r="K102" s="34">
        <f>D102*56*0.0125</f>
        <v>133.70000000000002</v>
      </c>
      <c r="L102" s="37">
        <f>K102-J102</f>
        <v>40.74000000000001</v>
      </c>
      <c r="M102" s="41">
        <f>((D102*56*0.0125)-(B102*56*0.01))/134</f>
        <v>0.3040298507462687</v>
      </c>
      <c r="N102" s="49">
        <f>B102</f>
        <v>166</v>
      </c>
      <c r="O102" s="63">
        <f>C102/(MAX(C102:D102))</f>
        <v>0.9842931937172775</v>
      </c>
      <c r="P102" s="57">
        <f>(D102*56*0.0125)/134</f>
        <v>0.9977611940298509</v>
      </c>
      <c r="Q102" s="69">
        <v>134</v>
      </c>
    </row>
    <row r="103" spans="1:17" ht="12.75">
      <c r="A103" s="1">
        <v>1987</v>
      </c>
      <c r="B103" s="55">
        <v>95.4</v>
      </c>
      <c r="C103" s="55">
        <v>159</v>
      </c>
      <c r="D103" s="55">
        <v>183</v>
      </c>
      <c r="G103" s="1">
        <f aca="true" t="shared" si="44" ref="G103:G115">MAX(B103:D103)</f>
        <v>183</v>
      </c>
      <c r="H103" s="1">
        <f aca="true" t="shared" si="45" ref="H103:H115">B103/(MAX(B103:D103))</f>
        <v>0.5213114754098361</v>
      </c>
      <c r="I103" s="27">
        <f aca="true" t="shared" si="46" ref="I103:I115">MAX(B103:D103)</f>
        <v>183</v>
      </c>
      <c r="J103" s="25">
        <f aca="true" t="shared" si="47" ref="J103:J115">(B103*56*0.01)</f>
        <v>53.42400000000001</v>
      </c>
      <c r="K103" s="34">
        <f aca="true" t="shared" si="48" ref="K103:K115">D103*56*0.0125</f>
        <v>128.1</v>
      </c>
      <c r="L103" s="37">
        <f aca="true" t="shared" si="49" ref="L103:L115">K103-J103</f>
        <v>74.67599999999999</v>
      </c>
      <c r="M103" s="41">
        <f aca="true" t="shared" si="50" ref="M103:M115">((D103*56*0.0125)-(B103*56*0.01))/134</f>
        <v>0.5572835820895522</v>
      </c>
      <c r="N103" s="49">
        <f aca="true" t="shared" si="51" ref="N103:N115">B103</f>
        <v>95.4</v>
      </c>
      <c r="O103" s="63">
        <f aca="true" t="shared" si="52" ref="O103:O115">C103/(MAX(C103:D103))</f>
        <v>0.8688524590163934</v>
      </c>
      <c r="P103" s="57">
        <f aca="true" t="shared" si="53" ref="P103:P115">(D103*56*0.0125)/134</f>
        <v>0.9559701492537312</v>
      </c>
      <c r="Q103" s="69">
        <v>134</v>
      </c>
    </row>
    <row r="104" spans="1:17" ht="12.75">
      <c r="A104" s="1">
        <v>1988</v>
      </c>
      <c r="B104" s="55">
        <v>103</v>
      </c>
      <c r="C104" s="55">
        <v>135</v>
      </c>
      <c r="D104" s="55">
        <v>135</v>
      </c>
      <c r="G104" s="1">
        <f t="shared" si="44"/>
        <v>135</v>
      </c>
      <c r="H104" s="1">
        <f t="shared" si="45"/>
        <v>0.762962962962963</v>
      </c>
      <c r="I104" s="27">
        <f t="shared" si="46"/>
        <v>135</v>
      </c>
      <c r="J104" s="25">
        <f t="shared" si="47"/>
        <v>57.68</v>
      </c>
      <c r="K104" s="34">
        <f t="shared" si="48"/>
        <v>94.5</v>
      </c>
      <c r="L104" s="37">
        <f t="shared" si="49"/>
        <v>36.82</v>
      </c>
      <c r="M104" s="41">
        <f t="shared" si="50"/>
        <v>0.2747761194029851</v>
      </c>
      <c r="N104" s="49">
        <f t="shared" si="51"/>
        <v>103</v>
      </c>
      <c r="O104" s="63">
        <f t="shared" si="52"/>
        <v>1</v>
      </c>
      <c r="P104" s="57">
        <f t="shared" si="53"/>
        <v>0.7052238805970149</v>
      </c>
      <c r="Q104" s="69">
        <v>134</v>
      </c>
    </row>
    <row r="105" spans="1:17" ht="12.75">
      <c r="A105" s="1">
        <v>1995</v>
      </c>
      <c r="B105" s="55">
        <v>92.1825</v>
      </c>
      <c r="C105" s="55">
        <v>154.01</v>
      </c>
      <c r="D105" s="55">
        <v>178.53</v>
      </c>
      <c r="G105" s="1">
        <f t="shared" si="44"/>
        <v>178.53</v>
      </c>
      <c r="H105" s="1">
        <f t="shared" si="45"/>
        <v>0.5163417912955806</v>
      </c>
      <c r="I105" s="27">
        <f t="shared" si="46"/>
        <v>178.53</v>
      </c>
      <c r="J105" s="25">
        <f t="shared" si="47"/>
        <v>51.62220000000001</v>
      </c>
      <c r="K105" s="34">
        <f t="shared" si="48"/>
        <v>124.971</v>
      </c>
      <c r="L105" s="37">
        <f t="shared" si="49"/>
        <v>73.3488</v>
      </c>
      <c r="M105" s="41">
        <f t="shared" si="50"/>
        <v>0.547379104477612</v>
      </c>
      <c r="N105" s="49">
        <f t="shared" si="51"/>
        <v>92.1825</v>
      </c>
      <c r="O105" s="63">
        <f t="shared" si="52"/>
        <v>0.8626561362236038</v>
      </c>
      <c r="P105" s="57">
        <f t="shared" si="53"/>
        <v>0.9326194029850746</v>
      </c>
      <c r="Q105" s="69">
        <v>134</v>
      </c>
    </row>
    <row r="106" spans="1:17" ht="12.75">
      <c r="A106" s="1">
        <v>1996</v>
      </c>
      <c r="B106" s="55">
        <v>74.8175</v>
      </c>
      <c r="C106" s="55">
        <v>124</v>
      </c>
      <c r="D106" s="55">
        <v>148.825</v>
      </c>
      <c r="G106" s="1">
        <f t="shared" si="44"/>
        <v>148.825</v>
      </c>
      <c r="H106" s="1">
        <f t="shared" si="45"/>
        <v>0.5027213169830338</v>
      </c>
      <c r="I106" s="27">
        <f t="shared" si="46"/>
        <v>148.825</v>
      </c>
      <c r="J106" s="25">
        <f t="shared" si="47"/>
        <v>41.8978</v>
      </c>
      <c r="K106" s="34">
        <f t="shared" si="48"/>
        <v>104.1775</v>
      </c>
      <c r="L106" s="37">
        <f t="shared" si="49"/>
        <v>62.2797</v>
      </c>
      <c r="M106" s="41">
        <f t="shared" si="50"/>
        <v>0.4647738805970149</v>
      </c>
      <c r="N106" s="49">
        <f t="shared" si="51"/>
        <v>74.8175</v>
      </c>
      <c r="O106" s="63">
        <f t="shared" si="52"/>
        <v>0.8331933478918193</v>
      </c>
      <c r="P106" s="57">
        <f t="shared" si="53"/>
        <v>0.7774440298507462</v>
      </c>
      <c r="Q106" s="69">
        <v>134</v>
      </c>
    </row>
    <row r="107" spans="1:17" ht="12.75">
      <c r="A107" s="1">
        <v>1997</v>
      </c>
      <c r="B107" s="55">
        <v>72.6925</v>
      </c>
      <c r="C107" s="55">
        <v>142.425</v>
      </c>
      <c r="D107" s="55">
        <v>181.16</v>
      </c>
      <c r="G107" s="1">
        <f t="shared" si="44"/>
        <v>181.16</v>
      </c>
      <c r="H107" s="1">
        <f t="shared" si="45"/>
        <v>0.4012613159637889</v>
      </c>
      <c r="I107" s="27">
        <f t="shared" si="46"/>
        <v>181.16</v>
      </c>
      <c r="J107" s="25">
        <f t="shared" si="47"/>
        <v>40.7078</v>
      </c>
      <c r="K107" s="34">
        <f t="shared" si="48"/>
        <v>126.812</v>
      </c>
      <c r="L107" s="37">
        <f t="shared" si="49"/>
        <v>86.10419999999999</v>
      </c>
      <c r="M107" s="41">
        <f t="shared" si="50"/>
        <v>0.6425686567164178</v>
      </c>
      <c r="N107" s="49">
        <f t="shared" si="51"/>
        <v>72.6925</v>
      </c>
      <c r="O107" s="63">
        <f t="shared" si="52"/>
        <v>0.7861834842128506</v>
      </c>
      <c r="P107" s="57">
        <f t="shared" si="53"/>
        <v>0.9463582089552238</v>
      </c>
      <c r="Q107" s="69">
        <v>134</v>
      </c>
    </row>
    <row r="108" spans="1:17" ht="12.75">
      <c r="A108" s="1">
        <v>1998</v>
      </c>
      <c r="B108" s="55">
        <v>73.22</v>
      </c>
      <c r="C108" s="55">
        <v>133.5</v>
      </c>
      <c r="D108" s="55">
        <v>164.115</v>
      </c>
      <c r="G108" s="1">
        <f t="shared" si="44"/>
        <v>164.115</v>
      </c>
      <c r="H108" s="1">
        <f t="shared" si="45"/>
        <v>0.4461505651524845</v>
      </c>
      <c r="I108" s="27">
        <f t="shared" si="46"/>
        <v>164.115</v>
      </c>
      <c r="J108" s="25">
        <f t="shared" si="47"/>
        <v>41.0032</v>
      </c>
      <c r="K108" s="34">
        <f t="shared" si="48"/>
        <v>114.88050000000001</v>
      </c>
      <c r="L108" s="37">
        <f t="shared" si="49"/>
        <v>73.87730000000002</v>
      </c>
      <c r="M108" s="41">
        <f t="shared" si="50"/>
        <v>0.5513231343283583</v>
      </c>
      <c r="N108" s="49">
        <f t="shared" si="51"/>
        <v>73.22</v>
      </c>
      <c r="O108" s="63">
        <f t="shared" si="52"/>
        <v>0.8134539804405447</v>
      </c>
      <c r="P108" s="57">
        <f t="shared" si="53"/>
        <v>0.8573171641791045</v>
      </c>
      <c r="Q108" s="69">
        <v>134</v>
      </c>
    </row>
    <row r="109" spans="1:17" ht="12.75">
      <c r="A109" s="1">
        <v>1999</v>
      </c>
      <c r="B109" s="55">
        <v>93.1</v>
      </c>
      <c r="C109" s="55">
        <v>135.15</v>
      </c>
      <c r="D109" s="55">
        <v>154.35</v>
      </c>
      <c r="G109" s="1">
        <f t="shared" si="44"/>
        <v>154.35</v>
      </c>
      <c r="H109" s="1">
        <f t="shared" si="45"/>
        <v>0.6031746031746031</v>
      </c>
      <c r="I109" s="27">
        <f t="shared" si="46"/>
        <v>154.35</v>
      </c>
      <c r="J109" s="25">
        <f t="shared" si="47"/>
        <v>52.135999999999996</v>
      </c>
      <c r="K109" s="34">
        <f t="shared" si="48"/>
        <v>108.04500000000002</v>
      </c>
      <c r="L109" s="37">
        <f t="shared" si="49"/>
        <v>55.90900000000002</v>
      </c>
      <c r="M109" s="41">
        <f t="shared" si="50"/>
        <v>0.41723134328358225</v>
      </c>
      <c r="N109" s="49">
        <f t="shared" si="51"/>
        <v>93.1</v>
      </c>
      <c r="O109" s="63">
        <f t="shared" si="52"/>
        <v>0.8756073858114675</v>
      </c>
      <c r="P109" s="57">
        <f t="shared" si="53"/>
        <v>0.8063059701492539</v>
      </c>
      <c r="Q109" s="69">
        <v>134</v>
      </c>
    </row>
    <row r="110" spans="1:17" ht="12.75">
      <c r="A110" s="1">
        <v>2000</v>
      </c>
      <c r="B110" s="55">
        <v>78.75</v>
      </c>
      <c r="C110" s="55">
        <v>144.05</v>
      </c>
      <c r="D110" s="55">
        <v>163.85</v>
      </c>
      <c r="G110" s="1">
        <f t="shared" si="44"/>
        <v>163.85</v>
      </c>
      <c r="H110" s="1">
        <f t="shared" si="45"/>
        <v>0.48062252059810806</v>
      </c>
      <c r="I110" s="27">
        <f t="shared" si="46"/>
        <v>163.85</v>
      </c>
      <c r="J110" s="25">
        <f t="shared" si="47"/>
        <v>44.1</v>
      </c>
      <c r="K110" s="34">
        <f t="shared" si="48"/>
        <v>114.69500000000001</v>
      </c>
      <c r="L110" s="37">
        <f t="shared" si="49"/>
        <v>70.595</v>
      </c>
      <c r="M110" s="41">
        <f t="shared" si="50"/>
        <v>0.5268283582089552</v>
      </c>
      <c r="N110" s="49">
        <f t="shared" si="51"/>
        <v>78.75</v>
      </c>
      <c r="O110" s="63">
        <f t="shared" si="52"/>
        <v>0.8791577662496186</v>
      </c>
      <c r="P110" s="57">
        <f t="shared" si="53"/>
        <v>0.8559328358208956</v>
      </c>
      <c r="Q110" s="69">
        <v>134</v>
      </c>
    </row>
    <row r="111" spans="1:17" ht="12.75">
      <c r="A111" s="1">
        <v>2001</v>
      </c>
      <c r="B111" s="55">
        <v>79.825</v>
      </c>
      <c r="C111" s="55">
        <v>181.4</v>
      </c>
      <c r="D111" s="55">
        <v>218.75</v>
      </c>
      <c r="G111" s="1">
        <f t="shared" si="44"/>
        <v>218.75</v>
      </c>
      <c r="H111" s="1">
        <f t="shared" si="45"/>
        <v>0.36491428571428575</v>
      </c>
      <c r="I111" s="27">
        <f t="shared" si="46"/>
        <v>218.75</v>
      </c>
      <c r="J111" s="25">
        <f t="shared" si="47"/>
        <v>44.702</v>
      </c>
      <c r="K111" s="34">
        <f t="shared" si="48"/>
        <v>153.125</v>
      </c>
      <c r="L111" s="37">
        <f t="shared" si="49"/>
        <v>108.423</v>
      </c>
      <c r="M111" s="41">
        <f t="shared" si="50"/>
        <v>0.8091268656716418</v>
      </c>
      <c r="N111" s="49">
        <f t="shared" si="51"/>
        <v>79.825</v>
      </c>
      <c r="O111" s="63">
        <f t="shared" si="52"/>
        <v>0.8292571428571429</v>
      </c>
      <c r="P111" s="57">
        <f t="shared" si="53"/>
        <v>1.142723880597015</v>
      </c>
      <c r="Q111" s="69">
        <v>134</v>
      </c>
    </row>
    <row r="112" spans="1:17" ht="12.75">
      <c r="A112" s="1">
        <v>2002</v>
      </c>
      <c r="B112" s="55">
        <v>111.35</v>
      </c>
      <c r="C112" s="55">
        <v>154.7</v>
      </c>
      <c r="D112" s="55">
        <v>197.8</v>
      </c>
      <c r="G112" s="1">
        <f t="shared" si="44"/>
        <v>197.8</v>
      </c>
      <c r="H112" s="1">
        <f t="shared" si="45"/>
        <v>0.5629423660262891</v>
      </c>
      <c r="I112" s="27">
        <f t="shared" si="46"/>
        <v>197.8</v>
      </c>
      <c r="J112" s="25">
        <f t="shared" si="47"/>
        <v>62.355999999999995</v>
      </c>
      <c r="K112" s="34">
        <f t="shared" si="48"/>
        <v>138.46</v>
      </c>
      <c r="L112" s="37">
        <f t="shared" si="49"/>
        <v>76.10400000000001</v>
      </c>
      <c r="M112" s="41">
        <f t="shared" si="50"/>
        <v>0.5679402985074627</v>
      </c>
      <c r="N112" s="49">
        <f t="shared" si="51"/>
        <v>111.35</v>
      </c>
      <c r="O112" s="63">
        <f t="shared" si="52"/>
        <v>0.7821031344792719</v>
      </c>
      <c r="P112" s="57">
        <f t="shared" si="53"/>
        <v>1.0332835820895523</v>
      </c>
      <c r="Q112" s="69">
        <v>134</v>
      </c>
    </row>
    <row r="113" spans="1:17" ht="12.75">
      <c r="A113" s="1">
        <v>2003</v>
      </c>
      <c r="B113" s="55">
        <v>82.725</v>
      </c>
      <c r="C113" s="55">
        <v>140.35</v>
      </c>
      <c r="D113" s="55">
        <v>207.65</v>
      </c>
      <c r="G113" s="1">
        <f t="shared" si="44"/>
        <v>207.65</v>
      </c>
      <c r="H113" s="1">
        <f t="shared" si="45"/>
        <v>0.39838670840356366</v>
      </c>
      <c r="I113" s="27">
        <f t="shared" si="46"/>
        <v>207.65</v>
      </c>
      <c r="J113" s="25">
        <f t="shared" si="47"/>
        <v>46.32599999999999</v>
      </c>
      <c r="K113" s="34">
        <f t="shared" si="48"/>
        <v>145.355</v>
      </c>
      <c r="L113" s="37">
        <f t="shared" si="49"/>
        <v>99.029</v>
      </c>
      <c r="M113" s="41">
        <f t="shared" si="50"/>
        <v>0.7390223880597014</v>
      </c>
      <c r="N113" s="49">
        <f t="shared" si="51"/>
        <v>82.725</v>
      </c>
      <c r="O113" s="63">
        <f t="shared" si="52"/>
        <v>0.6758969419696604</v>
      </c>
      <c r="P113" s="57">
        <f t="shared" si="53"/>
        <v>1.0847388059701493</v>
      </c>
      <c r="Q113" s="69">
        <v>134</v>
      </c>
    </row>
    <row r="114" spans="1:17" ht="12.75">
      <c r="A114" s="1">
        <v>2004</v>
      </c>
      <c r="B114" s="55">
        <v>76.05</v>
      </c>
      <c r="C114" s="55">
        <v>112.7</v>
      </c>
      <c r="D114" s="55">
        <v>175.8</v>
      </c>
      <c r="G114" s="1">
        <f t="shared" si="44"/>
        <v>175.8</v>
      </c>
      <c r="H114" s="1">
        <f t="shared" si="45"/>
        <v>0.43259385665529004</v>
      </c>
      <c r="I114" s="27">
        <f t="shared" si="46"/>
        <v>175.8</v>
      </c>
      <c r="J114" s="25">
        <f t="shared" si="47"/>
        <v>42.588</v>
      </c>
      <c r="K114" s="34">
        <f t="shared" si="48"/>
        <v>123.06000000000002</v>
      </c>
      <c r="L114" s="37">
        <f t="shared" si="49"/>
        <v>80.47200000000001</v>
      </c>
      <c r="M114" s="41">
        <f t="shared" si="50"/>
        <v>0.6005373134328359</v>
      </c>
      <c r="N114" s="49">
        <f t="shared" si="51"/>
        <v>76.05</v>
      </c>
      <c r="O114" s="63">
        <f t="shared" si="52"/>
        <v>0.6410693970420933</v>
      </c>
      <c r="P114" s="57">
        <f t="shared" si="53"/>
        <v>0.918358208955224</v>
      </c>
      <c r="Q114" s="69">
        <v>134</v>
      </c>
    </row>
    <row r="115" spans="1:17" ht="12.75">
      <c r="A115" s="1">
        <v>2005</v>
      </c>
      <c r="B115" s="55">
        <v>77.275</v>
      </c>
      <c r="C115" s="55">
        <v>122.05</v>
      </c>
      <c r="D115" s="55">
        <v>170.05</v>
      </c>
      <c r="G115" s="1">
        <f t="shared" si="44"/>
        <v>170.05</v>
      </c>
      <c r="H115" s="1">
        <f t="shared" si="45"/>
        <v>0.4544251690679212</v>
      </c>
      <c r="I115" s="27">
        <f t="shared" si="46"/>
        <v>170.05</v>
      </c>
      <c r="J115" s="25">
        <f t="shared" si="47"/>
        <v>43.27400000000001</v>
      </c>
      <c r="K115" s="34">
        <f t="shared" si="48"/>
        <v>119.03500000000003</v>
      </c>
      <c r="L115" s="37">
        <f t="shared" si="49"/>
        <v>75.76100000000002</v>
      </c>
      <c r="M115" s="41">
        <f t="shared" si="50"/>
        <v>0.5653805970149256</v>
      </c>
      <c r="N115" s="49">
        <f t="shared" si="51"/>
        <v>77.275</v>
      </c>
      <c r="O115" s="63">
        <f t="shared" si="52"/>
        <v>0.7177300793884152</v>
      </c>
      <c r="P115" s="57">
        <f t="shared" si="53"/>
        <v>0.8883208955223882</v>
      </c>
      <c r="Q115" s="69">
        <v>134</v>
      </c>
    </row>
    <row r="121" spans="2:13" ht="12.75">
      <c r="B121" s="2" t="s">
        <v>38</v>
      </c>
      <c r="C121" s="2"/>
      <c r="D121" s="2"/>
      <c r="M121" s="45">
        <v>125</v>
      </c>
    </row>
    <row r="122" spans="2:16" ht="12.75">
      <c r="B122" s="2">
        <v>0</v>
      </c>
      <c r="C122" s="2">
        <v>125</v>
      </c>
      <c r="D122" s="2">
        <v>250</v>
      </c>
      <c r="G122" s="1" t="s">
        <v>4</v>
      </c>
      <c r="H122" s="1" t="s">
        <v>5</v>
      </c>
      <c r="I122" s="27" t="s">
        <v>4</v>
      </c>
      <c r="J122" s="29" t="s">
        <v>32</v>
      </c>
      <c r="K122" s="33" t="s">
        <v>15</v>
      </c>
      <c r="L122" s="36" t="s">
        <v>2</v>
      </c>
      <c r="M122" s="45" t="s">
        <v>31</v>
      </c>
      <c r="N122" s="50" t="s">
        <v>36</v>
      </c>
      <c r="O122" s="60"/>
      <c r="P122" s="56" t="s">
        <v>40</v>
      </c>
    </row>
    <row r="123" spans="1:17" ht="12.75">
      <c r="A123" s="1">
        <v>1968</v>
      </c>
      <c r="B123" s="1">
        <v>78</v>
      </c>
      <c r="C123" s="1">
        <v>117</v>
      </c>
      <c r="D123" s="1">
        <v>131</v>
      </c>
      <c r="G123" s="1">
        <f>MAX(B123:D123)</f>
        <v>131</v>
      </c>
      <c r="H123" s="1">
        <f>B123/(MAX(B123:C123))</f>
        <v>0.6666666666666666</v>
      </c>
      <c r="I123" s="27">
        <f aca="true" t="shared" si="54" ref="I123:I137">MAX(B123:D123)</f>
        <v>131</v>
      </c>
      <c r="J123" s="25">
        <f aca="true" t="shared" si="55" ref="J123:J137">(B123*56*0.01)</f>
        <v>43.68</v>
      </c>
      <c r="K123" s="34">
        <f>C123*56*0.0125</f>
        <v>81.9</v>
      </c>
      <c r="L123" s="37">
        <f aca="true" t="shared" si="56" ref="L123:L137">K123-J123</f>
        <v>38.220000000000006</v>
      </c>
      <c r="M123" s="41">
        <f aca="true" t="shared" si="57" ref="M123:M137">((C123*56*0.0125)-(B123*56*0.01))/125</f>
        <v>0.30576000000000003</v>
      </c>
      <c r="N123" s="49">
        <f aca="true" t="shared" si="58" ref="N123:N137">B123</f>
        <v>78</v>
      </c>
      <c r="O123" s="63">
        <f aca="true" t="shared" si="59" ref="O123:O137">C123/(MAX(C123:D123))</f>
        <v>0.8931297709923665</v>
      </c>
      <c r="P123" s="57">
        <f>(C123*56*0.0125)/125</f>
        <v>0.6552</v>
      </c>
      <c r="Q123" s="69">
        <v>125</v>
      </c>
    </row>
    <row r="124" spans="1:17" ht="12.75">
      <c r="A124" s="1">
        <v>1969</v>
      </c>
      <c r="B124" s="1">
        <v>49</v>
      </c>
      <c r="C124" s="1">
        <v>126</v>
      </c>
      <c r="D124" s="1">
        <v>128</v>
      </c>
      <c r="G124" s="1">
        <f aca="true" t="shared" si="60" ref="G124:G159">MAX(B124:D124)</f>
        <v>128</v>
      </c>
      <c r="H124" s="1">
        <f aca="true" t="shared" si="61" ref="H124:H159">B124/(MAX(B124:C124))</f>
        <v>0.3888888888888889</v>
      </c>
      <c r="I124" s="27">
        <f t="shared" si="54"/>
        <v>128</v>
      </c>
      <c r="J124" s="25">
        <f t="shared" si="55"/>
        <v>27.44</v>
      </c>
      <c r="K124" s="34">
        <f aca="true" t="shared" si="62" ref="K124:K159">C124*56*0.0125</f>
        <v>88.2</v>
      </c>
      <c r="L124" s="37">
        <f t="shared" si="56"/>
        <v>60.760000000000005</v>
      </c>
      <c r="M124" s="41">
        <f t="shared" si="57"/>
        <v>0.48608000000000007</v>
      </c>
      <c r="N124" s="49">
        <f t="shared" si="58"/>
        <v>49</v>
      </c>
      <c r="O124" s="63">
        <f t="shared" si="59"/>
        <v>0.984375</v>
      </c>
      <c r="P124" s="57">
        <f aca="true" t="shared" si="63" ref="P124:P159">(C124*56*0.0125)/125</f>
        <v>0.7056</v>
      </c>
      <c r="Q124" s="69">
        <v>125</v>
      </c>
    </row>
    <row r="125" spans="1:17" ht="12.75">
      <c r="A125" s="1">
        <v>1970</v>
      </c>
      <c r="B125" s="1">
        <v>49</v>
      </c>
      <c r="C125" s="1">
        <v>88</v>
      </c>
      <c r="D125" s="1">
        <v>110</v>
      </c>
      <c r="G125" s="1">
        <f t="shared" si="60"/>
        <v>110</v>
      </c>
      <c r="H125" s="1">
        <f t="shared" si="61"/>
        <v>0.5568181818181818</v>
      </c>
      <c r="I125" s="27">
        <f t="shared" si="54"/>
        <v>110</v>
      </c>
      <c r="J125" s="25">
        <f t="shared" si="55"/>
        <v>27.44</v>
      </c>
      <c r="K125" s="34">
        <f t="shared" si="62"/>
        <v>61.6</v>
      </c>
      <c r="L125" s="37">
        <f t="shared" si="56"/>
        <v>34.16</v>
      </c>
      <c r="M125" s="41">
        <f t="shared" si="57"/>
        <v>0.27327999999999997</v>
      </c>
      <c r="N125" s="49">
        <f t="shared" si="58"/>
        <v>49</v>
      </c>
      <c r="O125" s="63">
        <f t="shared" si="59"/>
        <v>0.8</v>
      </c>
      <c r="P125" s="57">
        <f t="shared" si="63"/>
        <v>0.4928</v>
      </c>
      <c r="Q125" s="69">
        <v>125</v>
      </c>
    </row>
    <row r="126" spans="1:17" ht="12.75">
      <c r="A126" s="1">
        <v>1971</v>
      </c>
      <c r="B126" s="1">
        <v>43</v>
      </c>
      <c r="C126" s="1">
        <v>129</v>
      </c>
      <c r="D126" s="1">
        <v>141</v>
      </c>
      <c r="G126" s="1">
        <f t="shared" si="60"/>
        <v>141</v>
      </c>
      <c r="H126" s="1">
        <f t="shared" si="61"/>
        <v>0.3333333333333333</v>
      </c>
      <c r="I126" s="27">
        <f t="shared" si="54"/>
        <v>141</v>
      </c>
      <c r="J126" s="25">
        <f t="shared" si="55"/>
        <v>24.080000000000002</v>
      </c>
      <c r="K126" s="34">
        <f t="shared" si="62"/>
        <v>90.30000000000001</v>
      </c>
      <c r="L126" s="37">
        <f t="shared" si="56"/>
        <v>66.22000000000001</v>
      </c>
      <c r="M126" s="41">
        <f t="shared" si="57"/>
        <v>0.5297600000000001</v>
      </c>
      <c r="N126" s="49">
        <f t="shared" si="58"/>
        <v>43</v>
      </c>
      <c r="O126" s="63">
        <f t="shared" si="59"/>
        <v>0.9148936170212766</v>
      </c>
      <c r="P126" s="57">
        <f t="shared" si="63"/>
        <v>0.7224</v>
      </c>
      <c r="Q126" s="69">
        <v>125</v>
      </c>
    </row>
    <row r="127" spans="1:17" ht="12.75">
      <c r="A127" s="1">
        <v>1972</v>
      </c>
      <c r="B127" s="1">
        <v>48</v>
      </c>
      <c r="C127" s="1">
        <v>94</v>
      </c>
      <c r="D127" s="1">
        <v>95</v>
      </c>
      <c r="G127" s="1">
        <f t="shared" si="60"/>
        <v>95</v>
      </c>
      <c r="H127" s="1">
        <f t="shared" si="61"/>
        <v>0.5106382978723404</v>
      </c>
      <c r="I127" s="27">
        <f t="shared" si="54"/>
        <v>95</v>
      </c>
      <c r="J127" s="25">
        <f t="shared" si="55"/>
        <v>26.88</v>
      </c>
      <c r="K127" s="34">
        <f t="shared" si="62"/>
        <v>65.8</v>
      </c>
      <c r="L127" s="37">
        <f t="shared" si="56"/>
        <v>38.92</v>
      </c>
      <c r="M127" s="41">
        <f t="shared" si="57"/>
        <v>0.31136</v>
      </c>
      <c r="N127" s="49">
        <f t="shared" si="58"/>
        <v>48</v>
      </c>
      <c r="O127" s="63">
        <f t="shared" si="59"/>
        <v>0.9894736842105263</v>
      </c>
      <c r="P127" s="57">
        <f t="shared" si="63"/>
        <v>0.5264</v>
      </c>
      <c r="Q127" s="69">
        <v>125</v>
      </c>
    </row>
    <row r="128" spans="1:17" ht="12.75">
      <c r="A128" s="1">
        <v>1973</v>
      </c>
      <c r="B128" s="1">
        <v>95</v>
      </c>
      <c r="C128" s="1">
        <v>141</v>
      </c>
      <c r="D128" s="1">
        <v>140</v>
      </c>
      <c r="G128" s="1">
        <f t="shared" si="60"/>
        <v>141</v>
      </c>
      <c r="H128" s="1">
        <f t="shared" si="61"/>
        <v>0.6737588652482269</v>
      </c>
      <c r="I128" s="27">
        <f t="shared" si="54"/>
        <v>141</v>
      </c>
      <c r="J128" s="25">
        <f t="shared" si="55"/>
        <v>53.2</v>
      </c>
      <c r="K128" s="34">
        <f t="shared" si="62"/>
        <v>98.7</v>
      </c>
      <c r="L128" s="37">
        <f t="shared" si="56"/>
        <v>45.5</v>
      </c>
      <c r="M128" s="41">
        <f t="shared" si="57"/>
        <v>0.364</v>
      </c>
      <c r="N128" s="49">
        <f t="shared" si="58"/>
        <v>95</v>
      </c>
      <c r="O128" s="63">
        <f t="shared" si="59"/>
        <v>1</v>
      </c>
      <c r="P128" s="57">
        <f t="shared" si="63"/>
        <v>0.7896</v>
      </c>
      <c r="Q128" s="69">
        <v>125</v>
      </c>
    </row>
    <row r="129" spans="1:17" ht="12.75">
      <c r="A129" s="1">
        <v>1974</v>
      </c>
      <c r="B129" s="1">
        <v>38</v>
      </c>
      <c r="C129" s="1">
        <v>80</v>
      </c>
      <c r="D129" s="1">
        <v>84</v>
      </c>
      <c r="G129" s="1">
        <f t="shared" si="60"/>
        <v>84</v>
      </c>
      <c r="H129" s="1">
        <f t="shared" si="61"/>
        <v>0.475</v>
      </c>
      <c r="I129" s="27">
        <f t="shared" si="54"/>
        <v>84</v>
      </c>
      <c r="J129" s="25">
        <f t="shared" si="55"/>
        <v>21.28</v>
      </c>
      <c r="K129" s="34">
        <f t="shared" si="62"/>
        <v>56</v>
      </c>
      <c r="L129" s="37">
        <f t="shared" si="56"/>
        <v>34.72</v>
      </c>
      <c r="M129" s="41">
        <f t="shared" si="57"/>
        <v>0.27776</v>
      </c>
      <c r="N129" s="49">
        <f t="shared" si="58"/>
        <v>38</v>
      </c>
      <c r="O129" s="63">
        <f t="shared" si="59"/>
        <v>0.9523809523809523</v>
      </c>
      <c r="P129" s="57">
        <f t="shared" si="63"/>
        <v>0.448</v>
      </c>
      <c r="Q129" s="69">
        <v>125</v>
      </c>
    </row>
    <row r="130" spans="1:17" ht="12.75">
      <c r="A130" s="1">
        <v>1975</v>
      </c>
      <c r="B130" s="1">
        <v>64</v>
      </c>
      <c r="C130" s="1">
        <v>118</v>
      </c>
      <c r="D130" s="1">
        <v>128</v>
      </c>
      <c r="G130" s="1">
        <f t="shared" si="60"/>
        <v>128</v>
      </c>
      <c r="H130" s="1">
        <f t="shared" si="61"/>
        <v>0.5423728813559322</v>
      </c>
      <c r="I130" s="27">
        <f t="shared" si="54"/>
        <v>128</v>
      </c>
      <c r="J130" s="25">
        <f t="shared" si="55"/>
        <v>35.84</v>
      </c>
      <c r="K130" s="34">
        <f t="shared" si="62"/>
        <v>82.60000000000001</v>
      </c>
      <c r="L130" s="37">
        <f t="shared" si="56"/>
        <v>46.760000000000005</v>
      </c>
      <c r="M130" s="41">
        <f t="shared" si="57"/>
        <v>0.37408</v>
      </c>
      <c r="N130" s="49">
        <f t="shared" si="58"/>
        <v>64</v>
      </c>
      <c r="O130" s="63">
        <f t="shared" si="59"/>
        <v>0.921875</v>
      </c>
      <c r="P130" s="57">
        <f t="shared" si="63"/>
        <v>0.6608</v>
      </c>
      <c r="Q130" s="69">
        <v>125</v>
      </c>
    </row>
    <row r="131" spans="1:17" ht="12.75">
      <c r="A131" s="1">
        <v>1976</v>
      </c>
      <c r="B131" s="1">
        <v>25</v>
      </c>
      <c r="C131" s="1">
        <v>58</v>
      </c>
      <c r="D131" s="1">
        <v>72</v>
      </c>
      <c r="G131" s="1">
        <f t="shared" si="60"/>
        <v>72</v>
      </c>
      <c r="H131" s="1">
        <f t="shared" si="61"/>
        <v>0.43103448275862066</v>
      </c>
      <c r="I131" s="27">
        <f t="shared" si="54"/>
        <v>72</v>
      </c>
      <c r="J131" s="25">
        <f t="shared" si="55"/>
        <v>14</v>
      </c>
      <c r="K131" s="34">
        <f t="shared" si="62"/>
        <v>40.6</v>
      </c>
      <c r="L131" s="37">
        <f t="shared" si="56"/>
        <v>26.6</v>
      </c>
      <c r="M131" s="41">
        <f t="shared" si="57"/>
        <v>0.21280000000000002</v>
      </c>
      <c r="N131" s="49">
        <f t="shared" si="58"/>
        <v>25</v>
      </c>
      <c r="O131" s="63">
        <f t="shared" si="59"/>
        <v>0.8055555555555556</v>
      </c>
      <c r="P131" s="57">
        <f t="shared" si="63"/>
        <v>0.32480000000000003</v>
      </c>
      <c r="Q131" s="69">
        <v>125</v>
      </c>
    </row>
    <row r="132" spans="1:17" ht="12.75">
      <c r="A132" s="1">
        <v>1977</v>
      </c>
      <c r="B132" s="1">
        <v>30</v>
      </c>
      <c r="C132" s="1">
        <v>114</v>
      </c>
      <c r="D132" s="1">
        <v>120</v>
      </c>
      <c r="G132" s="1">
        <f t="shared" si="60"/>
        <v>120</v>
      </c>
      <c r="H132" s="1">
        <f t="shared" si="61"/>
        <v>0.2631578947368421</v>
      </c>
      <c r="I132" s="27">
        <f t="shared" si="54"/>
        <v>120</v>
      </c>
      <c r="J132" s="25">
        <f t="shared" si="55"/>
        <v>16.8</v>
      </c>
      <c r="K132" s="34">
        <f t="shared" si="62"/>
        <v>79.80000000000001</v>
      </c>
      <c r="L132" s="37">
        <f t="shared" si="56"/>
        <v>63.000000000000014</v>
      </c>
      <c r="M132" s="41">
        <f t="shared" si="57"/>
        <v>0.5040000000000001</v>
      </c>
      <c r="N132" s="49">
        <f t="shared" si="58"/>
        <v>30</v>
      </c>
      <c r="O132" s="63">
        <f t="shared" si="59"/>
        <v>0.95</v>
      </c>
      <c r="P132" s="57">
        <f t="shared" si="63"/>
        <v>0.6384000000000001</v>
      </c>
      <c r="Q132" s="69">
        <v>125</v>
      </c>
    </row>
    <row r="133" spans="1:17" ht="12.75">
      <c r="A133" s="1">
        <v>1978</v>
      </c>
      <c r="B133" s="1">
        <v>59</v>
      </c>
      <c r="C133" s="1">
        <v>127</v>
      </c>
      <c r="D133" s="1">
        <v>141</v>
      </c>
      <c r="G133" s="1">
        <f t="shared" si="60"/>
        <v>141</v>
      </c>
      <c r="H133" s="1">
        <f t="shared" si="61"/>
        <v>0.4645669291338583</v>
      </c>
      <c r="I133" s="27">
        <f t="shared" si="54"/>
        <v>141</v>
      </c>
      <c r="J133" s="25">
        <f t="shared" si="55"/>
        <v>33.04</v>
      </c>
      <c r="K133" s="34">
        <f t="shared" si="62"/>
        <v>88.9</v>
      </c>
      <c r="L133" s="37">
        <f t="shared" si="56"/>
        <v>55.86000000000001</v>
      </c>
      <c r="M133" s="41">
        <f t="shared" si="57"/>
        <v>0.44688000000000005</v>
      </c>
      <c r="N133" s="49">
        <f t="shared" si="58"/>
        <v>59</v>
      </c>
      <c r="O133" s="63">
        <f t="shared" si="59"/>
        <v>0.900709219858156</v>
      </c>
      <c r="P133" s="57">
        <f t="shared" si="63"/>
        <v>0.7112</v>
      </c>
      <c r="Q133" s="69">
        <v>125</v>
      </c>
    </row>
    <row r="134" spans="1:17" ht="12.75">
      <c r="A134" s="1">
        <v>1979</v>
      </c>
      <c r="B134" s="1">
        <v>73</v>
      </c>
      <c r="C134" s="1">
        <v>120</v>
      </c>
      <c r="D134" s="1">
        <v>130</v>
      </c>
      <c r="G134" s="1">
        <f t="shared" si="60"/>
        <v>130</v>
      </c>
      <c r="H134" s="1">
        <f t="shared" si="61"/>
        <v>0.6083333333333333</v>
      </c>
      <c r="I134" s="27">
        <f t="shared" si="54"/>
        <v>130</v>
      </c>
      <c r="J134" s="25">
        <f t="shared" si="55"/>
        <v>40.88</v>
      </c>
      <c r="K134" s="34">
        <f t="shared" si="62"/>
        <v>84</v>
      </c>
      <c r="L134" s="37">
        <f t="shared" si="56"/>
        <v>43.12</v>
      </c>
      <c r="M134" s="41">
        <f t="shared" si="57"/>
        <v>0.34496</v>
      </c>
      <c r="N134" s="49">
        <f t="shared" si="58"/>
        <v>73</v>
      </c>
      <c r="O134" s="63">
        <f t="shared" si="59"/>
        <v>0.9230769230769231</v>
      </c>
      <c r="P134" s="57">
        <f t="shared" si="63"/>
        <v>0.672</v>
      </c>
      <c r="Q134" s="69">
        <v>125</v>
      </c>
    </row>
    <row r="135" spans="1:17" ht="12.75">
      <c r="A135" s="1">
        <v>1980</v>
      </c>
      <c r="B135" s="1">
        <v>57</v>
      </c>
      <c r="C135" s="1">
        <v>124</v>
      </c>
      <c r="D135" s="1">
        <v>135</v>
      </c>
      <c r="G135" s="1">
        <f t="shared" si="60"/>
        <v>135</v>
      </c>
      <c r="H135" s="1">
        <f t="shared" si="61"/>
        <v>0.4596774193548387</v>
      </c>
      <c r="I135" s="27">
        <f t="shared" si="54"/>
        <v>135</v>
      </c>
      <c r="J135" s="25">
        <f t="shared" si="55"/>
        <v>31.92</v>
      </c>
      <c r="K135" s="34">
        <f t="shared" si="62"/>
        <v>86.80000000000001</v>
      </c>
      <c r="L135" s="37">
        <f t="shared" si="56"/>
        <v>54.88000000000001</v>
      </c>
      <c r="M135" s="41">
        <f t="shared" si="57"/>
        <v>0.4390400000000001</v>
      </c>
      <c r="N135" s="49">
        <f t="shared" si="58"/>
        <v>57</v>
      </c>
      <c r="O135" s="63">
        <f t="shared" si="59"/>
        <v>0.9185185185185185</v>
      </c>
      <c r="P135" s="57">
        <f t="shared" si="63"/>
        <v>0.6944000000000001</v>
      </c>
      <c r="Q135" s="69">
        <v>125</v>
      </c>
    </row>
    <row r="136" spans="1:17" ht="12.75">
      <c r="A136" s="1">
        <v>1981</v>
      </c>
      <c r="B136" s="1">
        <v>121</v>
      </c>
      <c r="C136" s="1">
        <v>143</v>
      </c>
      <c r="D136" s="1">
        <v>134</v>
      </c>
      <c r="G136" s="1">
        <f t="shared" si="60"/>
        <v>143</v>
      </c>
      <c r="H136" s="1">
        <f t="shared" si="61"/>
        <v>0.8461538461538461</v>
      </c>
      <c r="I136" s="27">
        <f t="shared" si="54"/>
        <v>143</v>
      </c>
      <c r="J136" s="25">
        <f t="shared" si="55"/>
        <v>67.76</v>
      </c>
      <c r="K136" s="34">
        <f t="shared" si="62"/>
        <v>100.10000000000001</v>
      </c>
      <c r="L136" s="37">
        <f t="shared" si="56"/>
        <v>32.34</v>
      </c>
      <c r="M136" s="41">
        <f t="shared" si="57"/>
        <v>0.25872</v>
      </c>
      <c r="N136" s="49">
        <f t="shared" si="58"/>
        <v>121</v>
      </c>
      <c r="O136" s="63">
        <f t="shared" si="59"/>
        <v>1</v>
      </c>
      <c r="P136" s="57">
        <f t="shared" si="63"/>
        <v>0.8008000000000001</v>
      </c>
      <c r="Q136" s="69">
        <v>125</v>
      </c>
    </row>
    <row r="137" spans="1:17" ht="12.75">
      <c r="A137" s="1">
        <v>1982</v>
      </c>
      <c r="B137" s="1">
        <v>104</v>
      </c>
      <c r="C137" s="1">
        <v>132</v>
      </c>
      <c r="D137" s="1">
        <v>139</v>
      </c>
      <c r="G137" s="1">
        <f t="shared" si="60"/>
        <v>139</v>
      </c>
      <c r="H137" s="1">
        <f t="shared" si="61"/>
        <v>0.7878787878787878</v>
      </c>
      <c r="I137" s="27">
        <f t="shared" si="54"/>
        <v>139</v>
      </c>
      <c r="J137" s="25">
        <f t="shared" si="55"/>
        <v>58.24</v>
      </c>
      <c r="K137" s="34">
        <f t="shared" si="62"/>
        <v>92.4</v>
      </c>
      <c r="L137" s="37">
        <f t="shared" si="56"/>
        <v>34.160000000000004</v>
      </c>
      <c r="M137" s="41">
        <f t="shared" si="57"/>
        <v>0.27328</v>
      </c>
      <c r="N137" s="49">
        <f t="shared" si="58"/>
        <v>104</v>
      </c>
      <c r="O137" s="63">
        <f t="shared" si="59"/>
        <v>0.9496402877697842</v>
      </c>
      <c r="P137" s="57">
        <f t="shared" si="63"/>
        <v>0.7392000000000001</v>
      </c>
      <c r="Q137" s="69">
        <v>125</v>
      </c>
    </row>
    <row r="138" spans="1:17" ht="12.75">
      <c r="A138" s="1">
        <v>1983</v>
      </c>
      <c r="B138" s="1">
        <v>33</v>
      </c>
      <c r="C138" s="1">
        <v>135</v>
      </c>
      <c r="D138" s="1">
        <v>126</v>
      </c>
      <c r="G138" s="1">
        <f t="shared" si="60"/>
        <v>135</v>
      </c>
      <c r="H138" s="1">
        <f t="shared" si="61"/>
        <v>0.24444444444444444</v>
      </c>
      <c r="I138" s="27">
        <f>MAX(B138:D138)</f>
        <v>135</v>
      </c>
      <c r="J138" s="25">
        <f>(B138*56*0.01)</f>
        <v>18.48</v>
      </c>
      <c r="K138" s="34">
        <f t="shared" si="62"/>
        <v>94.5</v>
      </c>
      <c r="L138" s="37">
        <f>K138-J138</f>
        <v>76.02</v>
      </c>
      <c r="M138" s="41">
        <f>((C138*56*0.0125)-(B138*56*0.01))/125</f>
        <v>0.6081599999999999</v>
      </c>
      <c r="N138" s="49">
        <f>B138</f>
        <v>33</v>
      </c>
      <c r="O138" s="63">
        <f>C138/(MAX(C138:D138))</f>
        <v>1</v>
      </c>
      <c r="P138" s="57">
        <f t="shared" si="63"/>
        <v>0.756</v>
      </c>
      <c r="Q138" s="69">
        <v>125</v>
      </c>
    </row>
    <row r="139" spans="1:17" ht="12.75">
      <c r="A139" s="1">
        <v>1984</v>
      </c>
      <c r="B139" s="1">
        <v>62</v>
      </c>
      <c r="C139" s="1">
        <v>141</v>
      </c>
      <c r="D139" s="1">
        <v>147</v>
      </c>
      <c r="G139" s="1">
        <f t="shared" si="60"/>
        <v>147</v>
      </c>
      <c r="H139" s="1">
        <f t="shared" si="61"/>
        <v>0.4397163120567376</v>
      </c>
      <c r="I139" s="27">
        <f aca="true" t="shared" si="64" ref="I139:I159">MAX(B139:D139)</f>
        <v>147</v>
      </c>
      <c r="J139" s="25">
        <f aca="true" t="shared" si="65" ref="J139:J159">(B139*56*0.01)</f>
        <v>34.72</v>
      </c>
      <c r="K139" s="34">
        <f t="shared" si="62"/>
        <v>98.7</v>
      </c>
      <c r="L139" s="37">
        <f aca="true" t="shared" si="66" ref="L139:L159">K139-J139</f>
        <v>63.980000000000004</v>
      </c>
      <c r="M139" s="41">
        <f aca="true" t="shared" si="67" ref="M139:M159">((C139*56*0.0125)-(B139*56*0.01))/125</f>
        <v>0.5118400000000001</v>
      </c>
      <c r="N139" s="49">
        <f aca="true" t="shared" si="68" ref="N139:N159">B139</f>
        <v>62</v>
      </c>
      <c r="O139" s="63">
        <f aca="true" t="shared" si="69" ref="O139:O158">C139/(MAX(C139:D139))</f>
        <v>0.9591836734693877</v>
      </c>
      <c r="P139" s="57">
        <f t="shared" si="63"/>
        <v>0.7896</v>
      </c>
      <c r="Q139" s="69">
        <v>125</v>
      </c>
    </row>
    <row r="140" spans="1:17" ht="12.75">
      <c r="A140" s="1">
        <v>1985</v>
      </c>
      <c r="B140" s="1">
        <v>89</v>
      </c>
      <c r="C140" s="1">
        <v>161</v>
      </c>
      <c r="D140" s="1">
        <v>155</v>
      </c>
      <c r="G140" s="1">
        <f t="shared" si="60"/>
        <v>161</v>
      </c>
      <c r="H140" s="1">
        <f t="shared" si="61"/>
        <v>0.5527950310559007</v>
      </c>
      <c r="I140" s="27">
        <f t="shared" si="64"/>
        <v>161</v>
      </c>
      <c r="J140" s="25">
        <f t="shared" si="65"/>
        <v>49.84</v>
      </c>
      <c r="K140" s="34">
        <f t="shared" si="62"/>
        <v>112.7</v>
      </c>
      <c r="L140" s="37">
        <f t="shared" si="66"/>
        <v>62.86</v>
      </c>
      <c r="M140" s="41">
        <f t="shared" si="67"/>
        <v>0.50288</v>
      </c>
      <c r="N140" s="49">
        <f t="shared" si="68"/>
        <v>89</v>
      </c>
      <c r="O140" s="63">
        <f t="shared" si="69"/>
        <v>1</v>
      </c>
      <c r="P140" s="57">
        <f t="shared" si="63"/>
        <v>0.9016000000000001</v>
      </c>
      <c r="Q140" s="69">
        <v>125</v>
      </c>
    </row>
    <row r="141" spans="1:17" ht="12.75">
      <c r="A141" s="1">
        <v>1986</v>
      </c>
      <c r="B141" s="1">
        <v>101</v>
      </c>
      <c r="C141" s="1">
        <v>205</v>
      </c>
      <c r="D141" s="1">
        <v>191</v>
      </c>
      <c r="G141" s="1">
        <f t="shared" si="60"/>
        <v>205</v>
      </c>
      <c r="H141" s="1">
        <f t="shared" si="61"/>
        <v>0.4926829268292683</v>
      </c>
      <c r="I141" s="27">
        <f t="shared" si="64"/>
        <v>205</v>
      </c>
      <c r="J141" s="25">
        <f t="shared" si="65"/>
        <v>56.56</v>
      </c>
      <c r="K141" s="34">
        <f t="shared" si="62"/>
        <v>143.5</v>
      </c>
      <c r="L141" s="37">
        <f t="shared" si="66"/>
        <v>86.94</v>
      </c>
      <c r="M141" s="41">
        <f t="shared" si="67"/>
        <v>0.69552</v>
      </c>
      <c r="N141" s="49">
        <f t="shared" si="68"/>
        <v>101</v>
      </c>
      <c r="O141" s="63">
        <f t="shared" si="69"/>
        <v>1</v>
      </c>
      <c r="P141" s="57">
        <f t="shared" si="63"/>
        <v>1.148</v>
      </c>
      <c r="Q141" s="69">
        <v>125</v>
      </c>
    </row>
    <row r="142" spans="1:17" ht="12.75">
      <c r="A142" s="1">
        <v>1987</v>
      </c>
      <c r="B142" s="1">
        <v>86</v>
      </c>
      <c r="C142" s="1">
        <v>138</v>
      </c>
      <c r="D142" s="1">
        <v>165</v>
      </c>
      <c r="G142" s="1">
        <f t="shared" si="60"/>
        <v>165</v>
      </c>
      <c r="H142" s="1">
        <f t="shared" si="61"/>
        <v>0.6231884057971014</v>
      </c>
      <c r="I142" s="27">
        <f t="shared" si="64"/>
        <v>165</v>
      </c>
      <c r="J142" s="25">
        <f t="shared" si="65"/>
        <v>48.160000000000004</v>
      </c>
      <c r="K142" s="34">
        <f t="shared" si="62"/>
        <v>96.60000000000001</v>
      </c>
      <c r="L142" s="37">
        <f t="shared" si="66"/>
        <v>48.440000000000005</v>
      </c>
      <c r="M142" s="41">
        <f t="shared" si="67"/>
        <v>0.38752000000000003</v>
      </c>
      <c r="N142" s="49">
        <f t="shared" si="68"/>
        <v>86</v>
      </c>
      <c r="O142" s="63">
        <f t="shared" si="69"/>
        <v>0.8363636363636363</v>
      </c>
      <c r="P142" s="57">
        <f t="shared" si="63"/>
        <v>0.7728</v>
      </c>
      <c r="Q142" s="69">
        <v>125</v>
      </c>
    </row>
    <row r="143" spans="1:17" ht="12.75">
      <c r="A143" s="1">
        <v>1988</v>
      </c>
      <c r="B143" s="1">
        <v>73</v>
      </c>
      <c r="C143" s="1">
        <v>90</v>
      </c>
      <c r="D143" s="1">
        <v>92</v>
      </c>
      <c r="G143" s="1">
        <f t="shared" si="60"/>
        <v>92</v>
      </c>
      <c r="H143" s="1">
        <f t="shared" si="61"/>
        <v>0.8111111111111111</v>
      </c>
      <c r="I143" s="27">
        <f t="shared" si="64"/>
        <v>92</v>
      </c>
      <c r="J143" s="25">
        <f t="shared" si="65"/>
        <v>40.88</v>
      </c>
      <c r="K143" s="34">
        <f t="shared" si="62"/>
        <v>63</v>
      </c>
      <c r="L143" s="37">
        <f t="shared" si="66"/>
        <v>22.119999999999997</v>
      </c>
      <c r="M143" s="41">
        <f t="shared" si="67"/>
        <v>0.17695999999999998</v>
      </c>
      <c r="N143" s="49">
        <f t="shared" si="68"/>
        <v>73</v>
      </c>
      <c r="O143" s="63">
        <f t="shared" si="69"/>
        <v>0.9782608695652174</v>
      </c>
      <c r="P143" s="57">
        <f t="shared" si="63"/>
        <v>0.504</v>
      </c>
      <c r="Q143" s="69">
        <v>125</v>
      </c>
    </row>
    <row r="144" spans="1:17" ht="12.75">
      <c r="A144" s="1">
        <v>1989</v>
      </c>
      <c r="B144" s="1">
        <v>86</v>
      </c>
      <c r="C144" s="1">
        <v>141</v>
      </c>
      <c r="D144" s="1">
        <v>148</v>
      </c>
      <c r="G144" s="1">
        <f t="shared" si="60"/>
        <v>148</v>
      </c>
      <c r="H144" s="1">
        <f t="shared" si="61"/>
        <v>0.6099290780141844</v>
      </c>
      <c r="I144" s="27">
        <f t="shared" si="64"/>
        <v>148</v>
      </c>
      <c r="J144" s="25">
        <f t="shared" si="65"/>
        <v>48.160000000000004</v>
      </c>
      <c r="K144" s="34">
        <f t="shared" si="62"/>
        <v>98.7</v>
      </c>
      <c r="L144" s="37">
        <f t="shared" si="66"/>
        <v>50.54</v>
      </c>
      <c r="M144" s="41">
        <f t="shared" si="67"/>
        <v>0.40432</v>
      </c>
      <c r="N144" s="49">
        <f t="shared" si="68"/>
        <v>86</v>
      </c>
      <c r="O144" s="63">
        <f t="shared" si="69"/>
        <v>0.9527027027027027</v>
      </c>
      <c r="P144" s="57">
        <f t="shared" si="63"/>
        <v>0.7896</v>
      </c>
      <c r="Q144" s="69">
        <v>125</v>
      </c>
    </row>
    <row r="145" spans="1:17" ht="12.75">
      <c r="A145" s="1">
        <v>1990</v>
      </c>
      <c r="B145" s="1">
        <v>57</v>
      </c>
      <c r="C145" s="1">
        <v>170</v>
      </c>
      <c r="D145" s="1">
        <v>175</v>
      </c>
      <c r="G145" s="1">
        <f t="shared" si="60"/>
        <v>175</v>
      </c>
      <c r="H145" s="1">
        <f t="shared" si="61"/>
        <v>0.3352941176470588</v>
      </c>
      <c r="I145" s="27">
        <f t="shared" si="64"/>
        <v>175</v>
      </c>
      <c r="J145" s="25">
        <f t="shared" si="65"/>
        <v>31.92</v>
      </c>
      <c r="K145" s="34">
        <f t="shared" si="62"/>
        <v>119</v>
      </c>
      <c r="L145" s="37">
        <f t="shared" si="66"/>
        <v>87.08</v>
      </c>
      <c r="M145" s="41">
        <f t="shared" si="67"/>
        <v>0.69664</v>
      </c>
      <c r="N145" s="49">
        <f t="shared" si="68"/>
        <v>57</v>
      </c>
      <c r="O145" s="63">
        <f t="shared" si="69"/>
        <v>0.9714285714285714</v>
      </c>
      <c r="P145" s="57">
        <f t="shared" si="63"/>
        <v>0.952</v>
      </c>
      <c r="Q145" s="69">
        <v>125</v>
      </c>
    </row>
    <row r="146" spans="1:17" ht="12.75">
      <c r="A146" s="1">
        <v>1991</v>
      </c>
      <c r="B146" s="1">
        <v>70</v>
      </c>
      <c r="C146" s="1">
        <v>175</v>
      </c>
      <c r="D146" s="1">
        <v>183</v>
      </c>
      <c r="G146" s="1">
        <f t="shared" si="60"/>
        <v>183</v>
      </c>
      <c r="H146" s="1">
        <f t="shared" si="61"/>
        <v>0.4</v>
      </c>
      <c r="I146" s="27">
        <f t="shared" si="64"/>
        <v>183</v>
      </c>
      <c r="J146" s="25">
        <f t="shared" si="65"/>
        <v>39.2</v>
      </c>
      <c r="K146" s="34">
        <f t="shared" si="62"/>
        <v>122.5</v>
      </c>
      <c r="L146" s="37">
        <f t="shared" si="66"/>
        <v>83.3</v>
      </c>
      <c r="M146" s="41">
        <f t="shared" si="67"/>
        <v>0.6664</v>
      </c>
      <c r="N146" s="49">
        <f t="shared" si="68"/>
        <v>70</v>
      </c>
      <c r="O146" s="63">
        <f t="shared" si="69"/>
        <v>0.9562841530054644</v>
      </c>
      <c r="P146" s="57">
        <f t="shared" si="63"/>
        <v>0.98</v>
      </c>
      <c r="Q146" s="69">
        <v>125</v>
      </c>
    </row>
    <row r="147" spans="1:17" ht="12.75">
      <c r="A147" s="1">
        <v>1992</v>
      </c>
      <c r="B147" s="1">
        <v>51</v>
      </c>
      <c r="C147" s="1">
        <v>167</v>
      </c>
      <c r="D147" s="1">
        <v>176</v>
      </c>
      <c r="G147" s="1">
        <f t="shared" si="60"/>
        <v>176</v>
      </c>
      <c r="H147" s="1">
        <f t="shared" si="61"/>
        <v>0.30538922155688625</v>
      </c>
      <c r="I147" s="27">
        <f t="shared" si="64"/>
        <v>176</v>
      </c>
      <c r="J147" s="25">
        <f t="shared" si="65"/>
        <v>28.560000000000002</v>
      </c>
      <c r="K147" s="34">
        <f t="shared" si="62"/>
        <v>116.9</v>
      </c>
      <c r="L147" s="37">
        <f t="shared" si="66"/>
        <v>88.34</v>
      </c>
      <c r="M147" s="41">
        <f t="shared" si="67"/>
        <v>0.70672</v>
      </c>
      <c r="N147" s="49">
        <f t="shared" si="68"/>
        <v>51</v>
      </c>
      <c r="O147" s="63">
        <f t="shared" si="69"/>
        <v>0.9488636363636364</v>
      </c>
      <c r="P147" s="57">
        <f t="shared" si="63"/>
        <v>0.9352</v>
      </c>
      <c r="Q147" s="69">
        <v>125</v>
      </c>
    </row>
    <row r="148" spans="1:17" ht="12.75">
      <c r="A148" s="1">
        <v>1993</v>
      </c>
      <c r="B148" s="1">
        <v>49</v>
      </c>
      <c r="C148" s="1">
        <v>125</v>
      </c>
      <c r="D148" s="1">
        <v>155</v>
      </c>
      <c r="G148" s="1">
        <f t="shared" si="60"/>
        <v>155</v>
      </c>
      <c r="H148" s="1">
        <f t="shared" si="61"/>
        <v>0.392</v>
      </c>
      <c r="I148" s="27">
        <f t="shared" si="64"/>
        <v>155</v>
      </c>
      <c r="J148" s="25">
        <f t="shared" si="65"/>
        <v>27.44</v>
      </c>
      <c r="K148" s="34">
        <f t="shared" si="62"/>
        <v>87.5</v>
      </c>
      <c r="L148" s="37">
        <f t="shared" si="66"/>
        <v>60.06</v>
      </c>
      <c r="M148" s="41">
        <f t="shared" si="67"/>
        <v>0.48048</v>
      </c>
      <c r="N148" s="49">
        <f t="shared" si="68"/>
        <v>49</v>
      </c>
      <c r="O148" s="63">
        <f t="shared" si="69"/>
        <v>0.8064516129032258</v>
      </c>
      <c r="P148" s="57">
        <f t="shared" si="63"/>
        <v>0.7</v>
      </c>
      <c r="Q148" s="69">
        <v>125</v>
      </c>
    </row>
    <row r="149" spans="1:17" ht="12.75">
      <c r="A149" s="1">
        <v>1994</v>
      </c>
      <c r="B149" s="1">
        <v>81</v>
      </c>
      <c r="C149" s="1">
        <v>191</v>
      </c>
      <c r="D149" s="1">
        <v>187</v>
      </c>
      <c r="G149" s="1">
        <f t="shared" si="60"/>
        <v>191</v>
      </c>
      <c r="H149" s="1">
        <f t="shared" si="61"/>
        <v>0.42408376963350786</v>
      </c>
      <c r="I149" s="27">
        <f t="shared" si="64"/>
        <v>191</v>
      </c>
      <c r="J149" s="25">
        <f t="shared" si="65"/>
        <v>45.36</v>
      </c>
      <c r="K149" s="34">
        <f t="shared" si="62"/>
        <v>133.70000000000002</v>
      </c>
      <c r="L149" s="37">
        <f t="shared" si="66"/>
        <v>88.34000000000002</v>
      </c>
      <c r="M149" s="41">
        <f t="shared" si="67"/>
        <v>0.7067200000000001</v>
      </c>
      <c r="N149" s="49">
        <f t="shared" si="68"/>
        <v>81</v>
      </c>
      <c r="O149" s="63">
        <f t="shared" si="69"/>
        <v>1</v>
      </c>
      <c r="P149" s="57">
        <f t="shared" si="63"/>
        <v>1.0696</v>
      </c>
      <c r="Q149" s="69">
        <v>125</v>
      </c>
    </row>
    <row r="150" spans="1:17" ht="12.75">
      <c r="A150" s="1">
        <v>1995</v>
      </c>
      <c r="B150" s="1">
        <v>73</v>
      </c>
      <c r="C150" s="1">
        <v>154</v>
      </c>
      <c r="D150" s="1">
        <v>166</v>
      </c>
      <c r="G150" s="1">
        <f t="shared" si="60"/>
        <v>166</v>
      </c>
      <c r="H150" s="1">
        <f t="shared" si="61"/>
        <v>0.474025974025974</v>
      </c>
      <c r="I150" s="27">
        <f t="shared" si="64"/>
        <v>166</v>
      </c>
      <c r="J150" s="25">
        <f t="shared" si="65"/>
        <v>40.88</v>
      </c>
      <c r="K150" s="34">
        <f t="shared" si="62"/>
        <v>107.80000000000001</v>
      </c>
      <c r="L150" s="37">
        <f t="shared" si="66"/>
        <v>66.92000000000002</v>
      </c>
      <c r="M150" s="41">
        <f t="shared" si="67"/>
        <v>0.5353600000000002</v>
      </c>
      <c r="N150" s="49">
        <f t="shared" si="68"/>
        <v>73</v>
      </c>
      <c r="O150" s="63">
        <f t="shared" si="69"/>
        <v>0.927710843373494</v>
      </c>
      <c r="P150" s="57">
        <f t="shared" si="63"/>
        <v>0.8624</v>
      </c>
      <c r="Q150" s="69">
        <v>125</v>
      </c>
    </row>
    <row r="151" spans="1:17" ht="12.75">
      <c r="A151" s="1">
        <v>1996</v>
      </c>
      <c r="B151" s="1">
        <v>63</v>
      </c>
      <c r="C151" s="1">
        <v>163</v>
      </c>
      <c r="D151" s="1">
        <v>159</v>
      </c>
      <c r="G151" s="1">
        <f t="shared" si="60"/>
        <v>163</v>
      </c>
      <c r="H151" s="1">
        <f t="shared" si="61"/>
        <v>0.38650306748466257</v>
      </c>
      <c r="I151" s="27">
        <f t="shared" si="64"/>
        <v>163</v>
      </c>
      <c r="J151" s="25">
        <f t="shared" si="65"/>
        <v>35.28</v>
      </c>
      <c r="K151" s="34">
        <f t="shared" si="62"/>
        <v>114.10000000000001</v>
      </c>
      <c r="L151" s="37">
        <f t="shared" si="66"/>
        <v>78.82000000000001</v>
      </c>
      <c r="M151" s="41">
        <f t="shared" si="67"/>
        <v>0.63056</v>
      </c>
      <c r="N151" s="49">
        <f t="shared" si="68"/>
        <v>63</v>
      </c>
      <c r="O151" s="63">
        <f t="shared" si="69"/>
        <v>1</v>
      </c>
      <c r="P151" s="57">
        <f t="shared" si="63"/>
        <v>0.9128000000000001</v>
      </c>
      <c r="Q151" s="69">
        <v>125</v>
      </c>
    </row>
    <row r="152" spans="1:17" ht="12.75">
      <c r="A152" s="1">
        <v>1997</v>
      </c>
      <c r="B152" s="1">
        <v>67</v>
      </c>
      <c r="C152" s="1">
        <v>172</v>
      </c>
      <c r="D152" s="1">
        <v>175</v>
      </c>
      <c r="G152" s="1">
        <f t="shared" si="60"/>
        <v>175</v>
      </c>
      <c r="H152" s="1">
        <f t="shared" si="61"/>
        <v>0.38953488372093026</v>
      </c>
      <c r="I152" s="27">
        <f t="shared" si="64"/>
        <v>175</v>
      </c>
      <c r="J152" s="25">
        <f t="shared" si="65"/>
        <v>37.52</v>
      </c>
      <c r="K152" s="34">
        <f t="shared" si="62"/>
        <v>120.4</v>
      </c>
      <c r="L152" s="37">
        <f t="shared" si="66"/>
        <v>82.88</v>
      </c>
      <c r="M152" s="41">
        <f t="shared" si="67"/>
        <v>0.66304</v>
      </c>
      <c r="N152" s="49">
        <f t="shared" si="68"/>
        <v>67</v>
      </c>
      <c r="O152" s="63">
        <f t="shared" si="69"/>
        <v>0.9828571428571429</v>
      </c>
      <c r="P152" s="57">
        <f t="shared" si="63"/>
        <v>0.9632000000000001</v>
      </c>
      <c r="Q152" s="69">
        <v>125</v>
      </c>
    </row>
    <row r="153" spans="1:17" ht="12.75">
      <c r="A153" s="1">
        <v>1998</v>
      </c>
      <c r="B153" s="1">
        <v>91</v>
      </c>
      <c r="C153" s="1">
        <v>230</v>
      </c>
      <c r="D153" s="1">
        <v>223</v>
      </c>
      <c r="G153" s="1">
        <f t="shared" si="60"/>
        <v>230</v>
      </c>
      <c r="H153" s="1">
        <f t="shared" si="61"/>
        <v>0.39565217391304347</v>
      </c>
      <c r="I153" s="27">
        <f t="shared" si="64"/>
        <v>230</v>
      </c>
      <c r="J153" s="25">
        <f t="shared" si="65"/>
        <v>50.96</v>
      </c>
      <c r="K153" s="34">
        <f t="shared" si="62"/>
        <v>161</v>
      </c>
      <c r="L153" s="37">
        <f t="shared" si="66"/>
        <v>110.03999999999999</v>
      </c>
      <c r="M153" s="41">
        <f t="shared" si="67"/>
        <v>0.88032</v>
      </c>
      <c r="N153" s="49">
        <f t="shared" si="68"/>
        <v>91</v>
      </c>
      <c r="O153" s="63">
        <f t="shared" si="69"/>
        <v>1</v>
      </c>
      <c r="P153" s="57">
        <f t="shared" si="63"/>
        <v>1.288</v>
      </c>
      <c r="Q153" s="69">
        <v>125</v>
      </c>
    </row>
    <row r="154" spans="1:17" ht="12.75">
      <c r="A154" s="1">
        <v>1999</v>
      </c>
      <c r="B154" s="1">
        <v>82</v>
      </c>
      <c r="C154" s="1">
        <v>211</v>
      </c>
      <c r="D154" s="1">
        <v>195</v>
      </c>
      <c r="G154" s="1">
        <f t="shared" si="60"/>
        <v>211</v>
      </c>
      <c r="H154" s="1">
        <f t="shared" si="61"/>
        <v>0.3886255924170616</v>
      </c>
      <c r="I154" s="27">
        <f t="shared" si="64"/>
        <v>211</v>
      </c>
      <c r="J154" s="25">
        <f t="shared" si="65"/>
        <v>45.92</v>
      </c>
      <c r="K154" s="34">
        <f t="shared" si="62"/>
        <v>147.70000000000002</v>
      </c>
      <c r="L154" s="37">
        <f t="shared" si="66"/>
        <v>101.78000000000002</v>
      </c>
      <c r="M154" s="41">
        <f t="shared" si="67"/>
        <v>0.8142400000000001</v>
      </c>
      <c r="N154" s="49">
        <f t="shared" si="68"/>
        <v>82</v>
      </c>
      <c r="O154" s="63">
        <f t="shared" si="69"/>
        <v>1</v>
      </c>
      <c r="P154" s="57">
        <f t="shared" si="63"/>
        <v>1.1816000000000002</v>
      </c>
      <c r="Q154" s="69">
        <v>125</v>
      </c>
    </row>
    <row r="155" spans="1:17" ht="12.75">
      <c r="A155" s="1">
        <v>2000</v>
      </c>
      <c r="B155" s="1">
        <v>58</v>
      </c>
      <c r="C155" s="1">
        <v>187</v>
      </c>
      <c r="D155" s="1">
        <v>192</v>
      </c>
      <c r="G155" s="1">
        <f t="shared" si="60"/>
        <v>192</v>
      </c>
      <c r="H155" s="1">
        <f t="shared" si="61"/>
        <v>0.31016042780748665</v>
      </c>
      <c r="I155" s="27">
        <f t="shared" si="64"/>
        <v>192</v>
      </c>
      <c r="J155" s="25">
        <f t="shared" si="65"/>
        <v>32.480000000000004</v>
      </c>
      <c r="K155" s="34">
        <f t="shared" si="62"/>
        <v>130.9</v>
      </c>
      <c r="L155" s="37">
        <f t="shared" si="66"/>
        <v>98.42</v>
      </c>
      <c r="M155" s="41">
        <f t="shared" si="67"/>
        <v>0.7873600000000001</v>
      </c>
      <c r="N155" s="49">
        <f t="shared" si="68"/>
        <v>58</v>
      </c>
      <c r="O155" s="63">
        <f t="shared" si="69"/>
        <v>0.9739583333333334</v>
      </c>
      <c r="P155" s="57">
        <f t="shared" si="63"/>
        <v>1.0472000000000001</v>
      </c>
      <c r="Q155" s="69">
        <v>125</v>
      </c>
    </row>
    <row r="156" spans="1:17" ht="12.75">
      <c r="A156" s="1">
        <v>2001</v>
      </c>
      <c r="B156" s="1">
        <v>48</v>
      </c>
      <c r="C156" s="1">
        <v>184</v>
      </c>
      <c r="D156" s="1">
        <v>182</v>
      </c>
      <c r="G156" s="1">
        <f t="shared" si="60"/>
        <v>184</v>
      </c>
      <c r="H156" s="1">
        <f t="shared" si="61"/>
        <v>0.2608695652173913</v>
      </c>
      <c r="I156" s="27">
        <f t="shared" si="64"/>
        <v>184</v>
      </c>
      <c r="J156" s="25">
        <f t="shared" si="65"/>
        <v>26.88</v>
      </c>
      <c r="K156" s="34">
        <f t="shared" si="62"/>
        <v>128.8</v>
      </c>
      <c r="L156" s="37">
        <f t="shared" si="66"/>
        <v>101.92000000000002</v>
      </c>
      <c r="M156" s="41">
        <f t="shared" si="67"/>
        <v>0.8153600000000001</v>
      </c>
      <c r="N156" s="49">
        <f t="shared" si="68"/>
        <v>48</v>
      </c>
      <c r="O156" s="63">
        <f t="shared" si="69"/>
        <v>1</v>
      </c>
      <c r="P156" s="57">
        <f t="shared" si="63"/>
        <v>1.0304</v>
      </c>
      <c r="Q156" s="69">
        <v>125</v>
      </c>
    </row>
    <row r="157" spans="1:17" ht="12.75">
      <c r="A157" s="1">
        <v>2002</v>
      </c>
      <c r="B157" s="1">
        <v>78</v>
      </c>
      <c r="C157" s="1">
        <v>175</v>
      </c>
      <c r="D157" s="1">
        <v>193</v>
      </c>
      <c r="G157" s="1">
        <f t="shared" si="60"/>
        <v>193</v>
      </c>
      <c r="H157" s="1">
        <f t="shared" si="61"/>
        <v>0.44571428571428573</v>
      </c>
      <c r="I157" s="27">
        <f t="shared" si="64"/>
        <v>193</v>
      </c>
      <c r="J157" s="25">
        <f t="shared" si="65"/>
        <v>43.68</v>
      </c>
      <c r="K157" s="34">
        <f t="shared" si="62"/>
        <v>122.5</v>
      </c>
      <c r="L157" s="37">
        <f t="shared" si="66"/>
        <v>78.82</v>
      </c>
      <c r="M157" s="41">
        <f t="shared" si="67"/>
        <v>0.6305599999999999</v>
      </c>
      <c r="N157" s="49">
        <f t="shared" si="68"/>
        <v>78</v>
      </c>
      <c r="O157" s="63">
        <f t="shared" si="69"/>
        <v>0.9067357512953368</v>
      </c>
      <c r="P157" s="57">
        <f t="shared" si="63"/>
        <v>0.98</v>
      </c>
      <c r="Q157" s="69">
        <v>125</v>
      </c>
    </row>
    <row r="158" spans="1:17" ht="12.75">
      <c r="A158" s="1">
        <v>2003</v>
      </c>
      <c r="B158" s="1">
        <v>58</v>
      </c>
      <c r="C158" s="1">
        <v>171</v>
      </c>
      <c r="D158" s="1">
        <v>163</v>
      </c>
      <c r="G158" s="1">
        <f t="shared" si="60"/>
        <v>171</v>
      </c>
      <c r="H158" s="1">
        <f t="shared" si="61"/>
        <v>0.3391812865497076</v>
      </c>
      <c r="I158" s="27">
        <f t="shared" si="64"/>
        <v>171</v>
      </c>
      <c r="J158" s="25">
        <f t="shared" si="65"/>
        <v>32.480000000000004</v>
      </c>
      <c r="K158" s="34">
        <f t="shared" si="62"/>
        <v>119.7</v>
      </c>
      <c r="L158" s="37">
        <f t="shared" si="66"/>
        <v>87.22</v>
      </c>
      <c r="M158" s="41">
        <f t="shared" si="67"/>
        <v>0.6977599999999999</v>
      </c>
      <c r="N158" s="49">
        <f t="shared" si="68"/>
        <v>58</v>
      </c>
      <c r="O158" s="63">
        <f t="shared" si="69"/>
        <v>1</v>
      </c>
      <c r="P158" s="57">
        <f t="shared" si="63"/>
        <v>0.9576</v>
      </c>
      <c r="Q158" s="69">
        <v>125</v>
      </c>
    </row>
    <row r="159" spans="1:17" ht="12.75">
      <c r="A159" s="1">
        <v>2004</v>
      </c>
      <c r="B159" s="1">
        <v>33</v>
      </c>
      <c r="C159" s="1">
        <v>168</v>
      </c>
      <c r="D159" s="1">
        <v>174</v>
      </c>
      <c r="G159" s="1">
        <f t="shared" si="60"/>
        <v>174</v>
      </c>
      <c r="H159" s="1">
        <f t="shared" si="61"/>
        <v>0.19642857142857142</v>
      </c>
      <c r="I159" s="27">
        <f t="shared" si="64"/>
        <v>174</v>
      </c>
      <c r="J159" s="25">
        <f t="shared" si="65"/>
        <v>18.48</v>
      </c>
      <c r="K159" s="34">
        <f t="shared" si="62"/>
        <v>117.60000000000001</v>
      </c>
      <c r="L159" s="37">
        <f t="shared" si="66"/>
        <v>99.12</v>
      </c>
      <c r="M159" s="41">
        <f t="shared" si="67"/>
        <v>0.79296</v>
      </c>
      <c r="N159" s="49">
        <f t="shared" si="68"/>
        <v>33</v>
      </c>
      <c r="O159" s="63">
        <f>C159/(MAX(C159:D159))</f>
        <v>0.9655172413793104</v>
      </c>
      <c r="P159" s="57">
        <f t="shared" si="63"/>
        <v>0.9408000000000001</v>
      </c>
      <c r="Q159" s="69">
        <v>125</v>
      </c>
    </row>
    <row r="161" spans="1:12" ht="12.75">
      <c r="A161" s="1">
        <v>1958</v>
      </c>
      <c r="B161" s="1">
        <v>41</v>
      </c>
      <c r="C161" s="1">
        <v>65</v>
      </c>
      <c r="D161" s="1">
        <v>68</v>
      </c>
      <c r="J161" s="30" t="s">
        <v>9</v>
      </c>
      <c r="K161" s="33" t="s">
        <v>10</v>
      </c>
      <c r="L161" s="36" t="s">
        <v>2</v>
      </c>
    </row>
    <row r="162" spans="1:12" ht="12.75">
      <c r="A162" s="1">
        <v>1959</v>
      </c>
      <c r="B162" s="1">
        <v>65</v>
      </c>
      <c r="C162" s="1">
        <v>94</v>
      </c>
      <c r="D162" s="1">
        <v>95</v>
      </c>
      <c r="I162" s="26" t="s">
        <v>12</v>
      </c>
      <c r="J162" s="25">
        <f>AVERAGE(J123:J159)</f>
        <v>36.657297297297305</v>
      </c>
      <c r="K162" s="34">
        <f>AVERAGE(K123:K159)</f>
        <v>101.5</v>
      </c>
      <c r="L162" s="66">
        <f>AVERAGE(L123:L159)</f>
        <v>64.84270270270268</v>
      </c>
    </row>
    <row r="163" spans="1:12" ht="12.75">
      <c r="A163" s="1">
        <v>1960</v>
      </c>
      <c r="B163" s="1">
        <v>69</v>
      </c>
      <c r="C163" s="1">
        <v>104</v>
      </c>
      <c r="D163" s="1">
        <v>110</v>
      </c>
      <c r="I163" s="26" t="s">
        <v>13</v>
      </c>
      <c r="J163" s="25">
        <f>STDEV(J123:J159)</f>
        <v>12.517523860716345</v>
      </c>
      <c r="K163" s="34">
        <f>STDEV(K123:K159)</f>
        <v>26.605628059575</v>
      </c>
      <c r="L163" s="38">
        <f>STDEV(L123:L159)</f>
        <v>24.295199874397813</v>
      </c>
    </row>
    <row r="164" spans="1:12" ht="12.75">
      <c r="A164" s="1">
        <v>1961</v>
      </c>
      <c r="B164" s="1">
        <v>65</v>
      </c>
      <c r="C164" s="1">
        <v>95</v>
      </c>
      <c r="D164" s="1">
        <v>109</v>
      </c>
      <c r="I164" s="26" t="s">
        <v>11</v>
      </c>
      <c r="J164" s="25">
        <f>MIN(J123:J159)</f>
        <v>14</v>
      </c>
      <c r="K164" s="34">
        <f>MIN(K123:K159)</f>
        <v>40.6</v>
      </c>
      <c r="L164" s="38">
        <f>MIN(L123:L159)</f>
        <v>22.119999999999997</v>
      </c>
    </row>
    <row r="165" spans="1:12" ht="12.75">
      <c r="A165" s="1">
        <v>1962</v>
      </c>
      <c r="B165" s="1">
        <v>58</v>
      </c>
      <c r="C165" s="1">
        <v>94</v>
      </c>
      <c r="D165" s="1">
        <v>103</v>
      </c>
      <c r="I165" s="26" t="s">
        <v>4</v>
      </c>
      <c r="J165" s="25">
        <f>MAX(J123:J159)</f>
        <v>67.76</v>
      </c>
      <c r="K165" s="34">
        <f>MAX(K123:K159)</f>
        <v>161</v>
      </c>
      <c r="L165" s="38">
        <f>MAX(L123:L159)</f>
        <v>110.03999999999999</v>
      </c>
    </row>
    <row r="169" spans="2:3" ht="12.75">
      <c r="B169" s="2" t="s">
        <v>43</v>
      </c>
      <c r="C169" s="2"/>
    </row>
    <row r="170" spans="2:16" ht="12.75">
      <c r="B170" s="2" t="s">
        <v>41</v>
      </c>
      <c r="C170" s="2">
        <v>130</v>
      </c>
      <c r="D170" s="1" t="s">
        <v>42</v>
      </c>
      <c r="G170" s="1" t="s">
        <v>4</v>
      </c>
      <c r="H170" s="1" t="s">
        <v>5</v>
      </c>
      <c r="I170" s="27" t="s">
        <v>4</v>
      </c>
      <c r="J170" s="29" t="s">
        <v>32</v>
      </c>
      <c r="K170" s="33" t="s">
        <v>15</v>
      </c>
      <c r="L170" s="36" t="s">
        <v>2</v>
      </c>
      <c r="M170" s="45" t="s">
        <v>31</v>
      </c>
      <c r="N170" s="50" t="s">
        <v>36</v>
      </c>
      <c r="O170" s="60"/>
      <c r="P170" s="56" t="s">
        <v>40</v>
      </c>
    </row>
    <row r="171" spans="1:17" ht="12.75">
      <c r="A171" s="1">
        <v>1987</v>
      </c>
      <c r="B171" s="1">
        <v>107</v>
      </c>
      <c r="C171" s="1">
        <v>195</v>
      </c>
      <c r="D171" s="1">
        <v>135</v>
      </c>
      <c r="G171" s="1">
        <f>C171</f>
        <v>195</v>
      </c>
      <c r="H171" s="1">
        <f>B171/(MAX(B171:C171))</f>
        <v>0.5487179487179488</v>
      </c>
      <c r="I171" s="27">
        <f>MAX(B171:C171)</f>
        <v>195</v>
      </c>
      <c r="J171" s="25">
        <f>(B171*56*0.01)</f>
        <v>59.92</v>
      </c>
      <c r="K171" s="34">
        <f>C171*56*0.013</f>
        <v>141.95999999999998</v>
      </c>
      <c r="L171" s="37">
        <f>K171-J171</f>
        <v>82.03999999999998</v>
      </c>
      <c r="M171" s="41">
        <f>((C171*56*0.0125)-(B171*56*0.01))/130</f>
        <v>0.589076923076923</v>
      </c>
      <c r="N171" s="49">
        <f>B171</f>
        <v>107</v>
      </c>
      <c r="O171" s="63"/>
      <c r="P171" s="57">
        <f>(C171*56*0.0125)/130</f>
        <v>1.05</v>
      </c>
      <c r="Q171" s="69">
        <v>130</v>
      </c>
    </row>
    <row r="172" spans="1:17" ht="12.75">
      <c r="A172" s="1">
        <v>1988</v>
      </c>
      <c r="B172" s="1">
        <v>102</v>
      </c>
      <c r="C172" s="1">
        <v>102</v>
      </c>
      <c r="D172" s="1">
        <v>135</v>
      </c>
      <c r="G172" s="1">
        <f aca="true" t="shared" si="70" ref="G172:G187">C172</f>
        <v>102</v>
      </c>
      <c r="H172" s="1">
        <f aca="true" t="shared" si="71" ref="H172:H187">B172/(MAX(B172:C172))</f>
        <v>1</v>
      </c>
      <c r="I172" s="27">
        <f aca="true" t="shared" si="72" ref="I172:I202">MAX(B172:C172)</f>
        <v>102</v>
      </c>
      <c r="J172" s="25">
        <f aca="true" t="shared" si="73" ref="J172:J202">(B172*56*0.01)</f>
        <v>57.120000000000005</v>
      </c>
      <c r="K172" s="34">
        <f aca="true" t="shared" si="74" ref="K172:K187">C172*56*0.013</f>
        <v>74.256</v>
      </c>
      <c r="L172" s="37">
        <f aca="true" t="shared" si="75" ref="L172:L202">K172-J172</f>
        <v>17.135999999999996</v>
      </c>
      <c r="M172" s="41">
        <f aca="true" t="shared" si="76" ref="M172:M187">((C172*56*0.0125)-(B172*56*0.01))/130</f>
        <v>0.10984615384615386</v>
      </c>
      <c r="N172" s="49">
        <f aca="true" t="shared" si="77" ref="N172:N187">B172</f>
        <v>102</v>
      </c>
      <c r="O172" s="63"/>
      <c r="P172" s="57">
        <f aca="true" t="shared" si="78" ref="P172:P187">(C172*56*0.0125)/130</f>
        <v>0.5492307692307693</v>
      </c>
      <c r="Q172" s="69">
        <v>130</v>
      </c>
    </row>
    <row r="173" spans="1:17" ht="12.75">
      <c r="A173" s="1">
        <v>1989</v>
      </c>
      <c r="B173" s="1">
        <v>98</v>
      </c>
      <c r="C173" s="1">
        <v>153</v>
      </c>
      <c r="D173" s="1">
        <v>135</v>
      </c>
      <c r="G173" s="1">
        <f t="shared" si="70"/>
        <v>153</v>
      </c>
      <c r="H173" s="1">
        <f t="shared" si="71"/>
        <v>0.6405228758169934</v>
      </c>
      <c r="I173" s="27">
        <f t="shared" si="72"/>
        <v>153</v>
      </c>
      <c r="J173" s="25">
        <f t="shared" si="73"/>
        <v>54.88</v>
      </c>
      <c r="K173" s="34">
        <f t="shared" si="74"/>
        <v>111.384</v>
      </c>
      <c r="L173" s="37">
        <f t="shared" si="75"/>
        <v>56.504</v>
      </c>
      <c r="M173" s="41">
        <f t="shared" si="76"/>
        <v>0.40169230769230774</v>
      </c>
      <c r="N173" s="49">
        <f t="shared" si="77"/>
        <v>98</v>
      </c>
      <c r="O173" s="63"/>
      <c r="P173" s="57">
        <f t="shared" si="78"/>
        <v>0.8238461538461539</v>
      </c>
      <c r="Q173" s="69">
        <v>130</v>
      </c>
    </row>
    <row r="174" spans="1:17" ht="12.75">
      <c r="A174" s="1">
        <v>1990</v>
      </c>
      <c r="B174" s="1">
        <v>107</v>
      </c>
      <c r="C174" s="1">
        <v>151</v>
      </c>
      <c r="D174" s="1">
        <v>135</v>
      </c>
      <c r="G174" s="1">
        <f t="shared" si="70"/>
        <v>151</v>
      </c>
      <c r="H174" s="1">
        <f t="shared" si="71"/>
        <v>0.7086092715231788</v>
      </c>
      <c r="I174" s="27">
        <f t="shared" si="72"/>
        <v>151</v>
      </c>
      <c r="J174" s="25">
        <f t="shared" si="73"/>
        <v>59.92</v>
      </c>
      <c r="K174" s="34">
        <f t="shared" si="74"/>
        <v>109.928</v>
      </c>
      <c r="L174" s="37">
        <f t="shared" si="75"/>
        <v>50.007999999999996</v>
      </c>
      <c r="M174" s="41">
        <f t="shared" si="76"/>
        <v>0.35215384615384615</v>
      </c>
      <c r="N174" s="49">
        <f t="shared" si="77"/>
        <v>107</v>
      </c>
      <c r="O174" s="63"/>
      <c r="P174" s="57">
        <f t="shared" si="78"/>
        <v>0.8130769230769231</v>
      </c>
      <c r="Q174" s="69">
        <v>130</v>
      </c>
    </row>
    <row r="175" spans="1:17" ht="12.75">
      <c r="A175" s="1">
        <v>1991</v>
      </c>
      <c r="B175" s="1">
        <v>93</v>
      </c>
      <c r="C175" s="1">
        <v>153</v>
      </c>
      <c r="D175" s="1">
        <v>135</v>
      </c>
      <c r="G175" s="1">
        <f t="shared" si="70"/>
        <v>153</v>
      </c>
      <c r="H175" s="1">
        <f t="shared" si="71"/>
        <v>0.6078431372549019</v>
      </c>
      <c r="I175" s="27">
        <f t="shared" si="72"/>
        <v>153</v>
      </c>
      <c r="J175" s="25">
        <f t="shared" si="73"/>
        <v>52.08</v>
      </c>
      <c r="K175" s="34">
        <f t="shared" si="74"/>
        <v>111.384</v>
      </c>
      <c r="L175" s="37">
        <f t="shared" si="75"/>
        <v>59.304</v>
      </c>
      <c r="M175" s="41">
        <f t="shared" si="76"/>
        <v>0.4232307692307693</v>
      </c>
      <c r="N175" s="49">
        <f t="shared" si="77"/>
        <v>93</v>
      </c>
      <c r="O175" s="63"/>
      <c r="P175" s="57">
        <f t="shared" si="78"/>
        <v>0.8238461538461539</v>
      </c>
      <c r="Q175" s="69">
        <v>130</v>
      </c>
    </row>
    <row r="176" spans="1:17" ht="12.75">
      <c r="A176" s="1">
        <v>1992</v>
      </c>
      <c r="B176" s="1">
        <v>100</v>
      </c>
      <c r="C176" s="1">
        <v>157</v>
      </c>
      <c r="D176" s="1">
        <v>135</v>
      </c>
      <c r="G176" s="1">
        <f t="shared" si="70"/>
        <v>157</v>
      </c>
      <c r="H176" s="1">
        <f t="shared" si="71"/>
        <v>0.6369426751592356</v>
      </c>
      <c r="I176" s="27">
        <f t="shared" si="72"/>
        <v>157</v>
      </c>
      <c r="J176" s="25">
        <f t="shared" si="73"/>
        <v>56</v>
      </c>
      <c r="K176" s="34">
        <f t="shared" si="74"/>
        <v>114.29599999999999</v>
      </c>
      <c r="L176" s="37">
        <f t="shared" si="75"/>
        <v>58.29599999999999</v>
      </c>
      <c r="M176" s="41">
        <f t="shared" si="76"/>
        <v>0.41461538461538466</v>
      </c>
      <c r="N176" s="49">
        <f t="shared" si="77"/>
        <v>100</v>
      </c>
      <c r="O176" s="63"/>
      <c r="P176" s="57">
        <f t="shared" si="78"/>
        <v>0.8453846153846154</v>
      </c>
      <c r="Q176" s="69">
        <v>130</v>
      </c>
    </row>
    <row r="177" spans="1:17" ht="12.75">
      <c r="A177" s="1">
        <v>1993</v>
      </c>
      <c r="B177" s="1">
        <v>57</v>
      </c>
      <c r="C177" s="1">
        <v>117</v>
      </c>
      <c r="D177" s="1">
        <v>135</v>
      </c>
      <c r="G177" s="1">
        <f t="shared" si="70"/>
        <v>117</v>
      </c>
      <c r="H177" s="1">
        <f t="shared" si="71"/>
        <v>0.48717948717948717</v>
      </c>
      <c r="I177" s="27">
        <f t="shared" si="72"/>
        <v>117</v>
      </c>
      <c r="J177" s="25">
        <f t="shared" si="73"/>
        <v>31.92</v>
      </c>
      <c r="K177" s="34">
        <f t="shared" si="74"/>
        <v>85.176</v>
      </c>
      <c r="L177" s="37">
        <f t="shared" si="75"/>
        <v>53.256</v>
      </c>
      <c r="M177" s="41">
        <f t="shared" si="76"/>
        <v>0.38446153846153847</v>
      </c>
      <c r="N177" s="49">
        <f t="shared" si="77"/>
        <v>57</v>
      </c>
      <c r="O177" s="63"/>
      <c r="P177" s="57">
        <f t="shared" si="78"/>
        <v>0.63</v>
      </c>
      <c r="Q177" s="69">
        <v>130</v>
      </c>
    </row>
    <row r="178" spans="1:17" ht="12.75">
      <c r="A178" s="1">
        <v>1994</v>
      </c>
      <c r="B178" s="1">
        <v>117</v>
      </c>
      <c r="C178" s="1">
        <v>175</v>
      </c>
      <c r="D178" s="1">
        <v>120</v>
      </c>
      <c r="G178" s="1">
        <f t="shared" si="70"/>
        <v>175</v>
      </c>
      <c r="H178" s="1">
        <f t="shared" si="71"/>
        <v>0.6685714285714286</v>
      </c>
      <c r="I178" s="27">
        <f t="shared" si="72"/>
        <v>175</v>
      </c>
      <c r="J178" s="25">
        <f t="shared" si="73"/>
        <v>65.52</v>
      </c>
      <c r="K178" s="34">
        <f t="shared" si="74"/>
        <v>127.39999999999999</v>
      </c>
      <c r="L178" s="37">
        <f t="shared" si="75"/>
        <v>61.879999999999995</v>
      </c>
      <c r="M178" s="41">
        <f t="shared" si="76"/>
        <v>0.43830769230769234</v>
      </c>
      <c r="N178" s="49">
        <f t="shared" si="77"/>
        <v>117</v>
      </c>
      <c r="O178" s="63"/>
      <c r="P178" s="57">
        <f t="shared" si="78"/>
        <v>0.9423076923076923</v>
      </c>
      <c r="Q178" s="69">
        <v>130</v>
      </c>
    </row>
    <row r="179" spans="1:17" ht="12.75">
      <c r="A179" s="1">
        <v>1995</v>
      </c>
      <c r="B179" s="1">
        <v>79</v>
      </c>
      <c r="C179" s="1">
        <v>158</v>
      </c>
      <c r="D179" s="1">
        <v>120</v>
      </c>
      <c r="G179" s="1">
        <f t="shared" si="70"/>
        <v>158</v>
      </c>
      <c r="H179" s="1">
        <f t="shared" si="71"/>
        <v>0.5</v>
      </c>
      <c r="I179" s="27">
        <f t="shared" si="72"/>
        <v>158</v>
      </c>
      <c r="J179" s="25">
        <f t="shared" si="73"/>
        <v>44.24</v>
      </c>
      <c r="K179" s="34">
        <f t="shared" si="74"/>
        <v>115.024</v>
      </c>
      <c r="L179" s="37">
        <f t="shared" si="75"/>
        <v>70.78399999999999</v>
      </c>
      <c r="M179" s="41">
        <f t="shared" si="76"/>
        <v>0.5104615384615385</v>
      </c>
      <c r="N179" s="49">
        <f t="shared" si="77"/>
        <v>79</v>
      </c>
      <c r="P179" s="57">
        <f t="shared" si="78"/>
        <v>0.8507692307692308</v>
      </c>
      <c r="Q179" s="69">
        <v>130</v>
      </c>
    </row>
    <row r="180" spans="1:17" ht="12.75">
      <c r="A180" s="1">
        <v>1996</v>
      </c>
      <c r="B180" s="1">
        <v>105</v>
      </c>
      <c r="C180" s="1">
        <v>168</v>
      </c>
      <c r="D180" s="1">
        <v>120</v>
      </c>
      <c r="G180" s="1">
        <f t="shared" si="70"/>
        <v>168</v>
      </c>
      <c r="H180" s="1">
        <f t="shared" si="71"/>
        <v>0.625</v>
      </c>
      <c r="I180" s="27">
        <f t="shared" si="72"/>
        <v>168</v>
      </c>
      <c r="J180" s="25">
        <f t="shared" si="73"/>
        <v>58.800000000000004</v>
      </c>
      <c r="K180" s="34">
        <f t="shared" si="74"/>
        <v>122.30399999999999</v>
      </c>
      <c r="L180" s="37">
        <f t="shared" si="75"/>
        <v>63.503999999999984</v>
      </c>
      <c r="M180" s="41">
        <f t="shared" si="76"/>
        <v>0.45230769230769236</v>
      </c>
      <c r="N180" s="49">
        <f t="shared" si="77"/>
        <v>105</v>
      </c>
      <c r="P180" s="57">
        <f t="shared" si="78"/>
        <v>0.9046153846153847</v>
      </c>
      <c r="Q180" s="69">
        <v>130</v>
      </c>
    </row>
    <row r="181" spans="1:17" ht="12.75">
      <c r="A181" s="1">
        <v>1997</v>
      </c>
      <c r="B181" s="1">
        <v>112</v>
      </c>
      <c r="C181" s="1">
        <v>189</v>
      </c>
      <c r="D181" s="1">
        <v>120</v>
      </c>
      <c r="G181" s="1">
        <f t="shared" si="70"/>
        <v>189</v>
      </c>
      <c r="H181" s="1">
        <f t="shared" si="71"/>
        <v>0.5925925925925926</v>
      </c>
      <c r="I181" s="27">
        <f t="shared" si="72"/>
        <v>189</v>
      </c>
      <c r="J181" s="25">
        <f t="shared" si="73"/>
        <v>62.72</v>
      </c>
      <c r="K181" s="34">
        <f t="shared" si="74"/>
        <v>137.59199999999998</v>
      </c>
      <c r="L181" s="37">
        <f t="shared" si="75"/>
        <v>74.87199999999999</v>
      </c>
      <c r="M181" s="41">
        <f t="shared" si="76"/>
        <v>0.5352307692307693</v>
      </c>
      <c r="N181" s="49">
        <f t="shared" si="77"/>
        <v>112</v>
      </c>
      <c r="P181" s="57">
        <f t="shared" si="78"/>
        <v>1.0176923076923077</v>
      </c>
      <c r="Q181" s="69">
        <v>130</v>
      </c>
    </row>
    <row r="182" spans="1:17" ht="12.75">
      <c r="A182" s="1">
        <v>1998</v>
      </c>
      <c r="B182" s="1">
        <v>131</v>
      </c>
      <c r="C182" s="1">
        <v>207</v>
      </c>
      <c r="D182" s="1">
        <v>120</v>
      </c>
      <c r="G182" s="1">
        <f t="shared" si="70"/>
        <v>207</v>
      </c>
      <c r="H182" s="1">
        <f t="shared" si="71"/>
        <v>0.6328502415458938</v>
      </c>
      <c r="I182" s="27">
        <f t="shared" si="72"/>
        <v>207</v>
      </c>
      <c r="J182" s="25">
        <f t="shared" si="73"/>
        <v>73.36</v>
      </c>
      <c r="K182" s="34">
        <f t="shared" si="74"/>
        <v>150.696</v>
      </c>
      <c r="L182" s="37">
        <f t="shared" si="75"/>
        <v>77.336</v>
      </c>
      <c r="M182" s="41">
        <f t="shared" si="76"/>
        <v>0.5503076923076924</v>
      </c>
      <c r="N182" s="49">
        <f t="shared" si="77"/>
        <v>131</v>
      </c>
      <c r="P182" s="57">
        <f t="shared" si="78"/>
        <v>1.1146153846153846</v>
      </c>
      <c r="Q182" s="69">
        <v>130</v>
      </c>
    </row>
    <row r="183" spans="1:17" ht="12.75">
      <c r="A183" s="1">
        <v>1999</v>
      </c>
      <c r="B183" s="1">
        <v>90</v>
      </c>
      <c r="C183" s="1">
        <v>187</v>
      </c>
      <c r="D183" s="1">
        <v>120</v>
      </c>
      <c r="G183" s="1">
        <f t="shared" si="70"/>
        <v>187</v>
      </c>
      <c r="H183" s="1">
        <f t="shared" si="71"/>
        <v>0.48128342245989303</v>
      </c>
      <c r="I183" s="27">
        <f t="shared" si="72"/>
        <v>187</v>
      </c>
      <c r="J183" s="25">
        <f t="shared" si="73"/>
        <v>50.4</v>
      </c>
      <c r="K183" s="34">
        <f t="shared" si="74"/>
        <v>136.136</v>
      </c>
      <c r="L183" s="37">
        <f t="shared" si="75"/>
        <v>85.73599999999999</v>
      </c>
      <c r="M183" s="41">
        <f t="shared" si="76"/>
        <v>0.6192307692307693</v>
      </c>
      <c r="N183" s="49">
        <f t="shared" si="77"/>
        <v>90</v>
      </c>
      <c r="P183" s="57">
        <f t="shared" si="78"/>
        <v>1.006923076923077</v>
      </c>
      <c r="Q183" s="69">
        <v>130</v>
      </c>
    </row>
    <row r="184" spans="1:17" ht="12.75">
      <c r="A184" s="1">
        <v>2000</v>
      </c>
      <c r="B184" s="1">
        <v>106</v>
      </c>
      <c r="C184" s="1">
        <v>139</v>
      </c>
      <c r="D184" s="1">
        <v>120</v>
      </c>
      <c r="G184" s="1">
        <f t="shared" si="70"/>
        <v>139</v>
      </c>
      <c r="H184" s="1">
        <f t="shared" si="71"/>
        <v>0.762589928057554</v>
      </c>
      <c r="I184" s="27">
        <f t="shared" si="72"/>
        <v>139</v>
      </c>
      <c r="J184" s="25">
        <f t="shared" si="73"/>
        <v>59.36</v>
      </c>
      <c r="K184" s="34">
        <f t="shared" si="74"/>
        <v>101.192</v>
      </c>
      <c r="L184" s="37">
        <f t="shared" si="75"/>
        <v>41.831999999999994</v>
      </c>
      <c r="M184" s="41">
        <f t="shared" si="76"/>
        <v>0.2918461538461539</v>
      </c>
      <c r="N184" s="49">
        <f t="shared" si="77"/>
        <v>106</v>
      </c>
      <c r="P184" s="57">
        <f t="shared" si="78"/>
        <v>0.7484615384615385</v>
      </c>
      <c r="Q184" s="69">
        <v>130</v>
      </c>
    </row>
    <row r="185" spans="1:17" ht="12.75">
      <c r="A185" s="1">
        <v>2001</v>
      </c>
      <c r="B185" s="1">
        <v>89</v>
      </c>
      <c r="C185" s="1">
        <v>170</v>
      </c>
      <c r="D185" s="1">
        <v>120</v>
      </c>
      <c r="G185" s="1">
        <f t="shared" si="70"/>
        <v>170</v>
      </c>
      <c r="H185" s="1">
        <f t="shared" si="71"/>
        <v>0.5235294117647059</v>
      </c>
      <c r="I185" s="27">
        <f t="shared" si="72"/>
        <v>170</v>
      </c>
      <c r="J185" s="25">
        <f t="shared" si="73"/>
        <v>49.84</v>
      </c>
      <c r="K185" s="34">
        <f t="shared" si="74"/>
        <v>123.75999999999999</v>
      </c>
      <c r="L185" s="37">
        <f t="shared" si="75"/>
        <v>73.91999999999999</v>
      </c>
      <c r="M185" s="41">
        <f t="shared" si="76"/>
        <v>0.532</v>
      </c>
      <c r="N185" s="49">
        <f t="shared" si="77"/>
        <v>89</v>
      </c>
      <c r="P185" s="57">
        <f t="shared" si="78"/>
        <v>0.9153846153846154</v>
      </c>
      <c r="Q185" s="69">
        <v>130</v>
      </c>
    </row>
    <row r="186" spans="1:17" ht="12.75">
      <c r="A186" s="1">
        <v>2002</v>
      </c>
      <c r="B186" s="1">
        <v>122</v>
      </c>
      <c r="C186" s="1">
        <v>202</v>
      </c>
      <c r="D186" s="1">
        <v>120</v>
      </c>
      <c r="G186" s="1">
        <f t="shared" si="70"/>
        <v>202</v>
      </c>
      <c r="H186" s="1">
        <f t="shared" si="71"/>
        <v>0.6039603960396039</v>
      </c>
      <c r="I186" s="27">
        <f t="shared" si="72"/>
        <v>202</v>
      </c>
      <c r="J186" s="25">
        <f t="shared" si="73"/>
        <v>68.32000000000001</v>
      </c>
      <c r="K186" s="34">
        <f t="shared" si="74"/>
        <v>147.05599999999998</v>
      </c>
      <c r="L186" s="37">
        <f t="shared" si="75"/>
        <v>78.73599999999998</v>
      </c>
      <c r="M186" s="41">
        <f t="shared" si="76"/>
        <v>0.5621538461538461</v>
      </c>
      <c r="N186" s="49">
        <f t="shared" si="77"/>
        <v>122</v>
      </c>
      <c r="P186" s="57">
        <f t="shared" si="78"/>
        <v>1.0876923076923077</v>
      </c>
      <c r="Q186" s="69">
        <v>130</v>
      </c>
    </row>
    <row r="187" spans="1:17" ht="12.75">
      <c r="A187" s="1">
        <v>2003</v>
      </c>
      <c r="B187" s="1">
        <v>126</v>
      </c>
      <c r="C187" s="1">
        <v>189</v>
      </c>
      <c r="D187" s="1">
        <v>120</v>
      </c>
      <c r="G187" s="1">
        <f t="shared" si="70"/>
        <v>189</v>
      </c>
      <c r="H187" s="1">
        <f t="shared" si="71"/>
        <v>0.6666666666666666</v>
      </c>
      <c r="I187" s="27">
        <f t="shared" si="72"/>
        <v>189</v>
      </c>
      <c r="J187" s="25">
        <f t="shared" si="73"/>
        <v>70.56</v>
      </c>
      <c r="K187" s="34">
        <f t="shared" si="74"/>
        <v>137.59199999999998</v>
      </c>
      <c r="L187" s="37">
        <f t="shared" si="75"/>
        <v>67.03199999999998</v>
      </c>
      <c r="M187" s="41">
        <f t="shared" si="76"/>
        <v>0.474923076923077</v>
      </c>
      <c r="N187" s="49">
        <f t="shared" si="77"/>
        <v>126</v>
      </c>
      <c r="P187" s="57">
        <f t="shared" si="78"/>
        <v>1.0176923076923077</v>
      </c>
      <c r="Q187" s="69">
        <v>130</v>
      </c>
    </row>
    <row r="188" spans="10:16" ht="12.75">
      <c r="J188" s="25"/>
      <c r="K188" s="34"/>
      <c r="L188" s="37"/>
      <c r="P188" s="57"/>
    </row>
    <row r="189" spans="2:16" ht="12.75">
      <c r="B189" s="2" t="s">
        <v>44</v>
      </c>
      <c r="C189" s="2"/>
      <c r="D189" s="2"/>
      <c r="J189" s="25"/>
      <c r="K189" s="34"/>
      <c r="L189" s="37"/>
      <c r="P189" s="57"/>
    </row>
    <row r="190" spans="2:16" ht="12.75">
      <c r="B190" s="2" t="s">
        <v>41</v>
      </c>
      <c r="C190" s="2" t="s">
        <v>45</v>
      </c>
      <c r="D190" s="2"/>
      <c r="J190" s="25"/>
      <c r="K190" s="34"/>
      <c r="L190" s="37"/>
      <c r="P190" s="57"/>
    </row>
    <row r="191" spans="1:17" ht="12.75">
      <c r="A191" s="67">
        <v>1990</v>
      </c>
      <c r="B191" s="1">
        <v>61</v>
      </c>
      <c r="C191" s="1">
        <v>146</v>
      </c>
      <c r="G191" s="1">
        <f>C191</f>
        <v>146</v>
      </c>
      <c r="H191" s="1">
        <f>B191/(MAX(B191:C191))</f>
        <v>0.4178082191780822</v>
      </c>
      <c r="I191" s="27">
        <f t="shared" si="72"/>
        <v>146</v>
      </c>
      <c r="J191" s="25">
        <f t="shared" si="73"/>
        <v>34.160000000000004</v>
      </c>
      <c r="K191" s="34">
        <f>MAX(B191:C191)*56*0.013</f>
        <v>106.288</v>
      </c>
      <c r="L191" s="37">
        <f>K191-J191</f>
        <v>72.12799999999999</v>
      </c>
      <c r="M191" s="41">
        <f>((C191*56*0.0125)-(B191*56*0.01))/180</f>
        <v>0.37799999999999995</v>
      </c>
      <c r="N191" s="49">
        <f aca="true" t="shared" si="79" ref="N191:N202">B191</f>
        <v>61</v>
      </c>
      <c r="P191" s="57">
        <f>(C191*56*0.0125)/180</f>
        <v>0.5677777777777778</v>
      </c>
      <c r="Q191" s="69">
        <v>180</v>
      </c>
    </row>
    <row r="192" spans="1:17" ht="12.75">
      <c r="A192" s="67">
        <v>1991</v>
      </c>
      <c r="B192" s="1">
        <v>62</v>
      </c>
      <c r="C192" s="1">
        <v>162</v>
      </c>
      <c r="G192" s="1">
        <f aca="true" t="shared" si="80" ref="G192:G202">C192</f>
        <v>162</v>
      </c>
      <c r="H192" s="1">
        <f aca="true" t="shared" si="81" ref="H192:H202">B192/(MAX(B192:C192))</f>
        <v>0.38271604938271603</v>
      </c>
      <c r="I192" s="27">
        <f t="shared" si="72"/>
        <v>162</v>
      </c>
      <c r="J192" s="25">
        <f t="shared" si="73"/>
        <v>34.72</v>
      </c>
      <c r="K192" s="34">
        <f aca="true" t="shared" si="82" ref="K192:K202">MAX(B192:C192)*56*0.013</f>
        <v>117.93599999999999</v>
      </c>
      <c r="L192" s="37">
        <f t="shared" si="75"/>
        <v>83.216</v>
      </c>
      <c r="M192" s="41">
        <f aca="true" t="shared" si="83" ref="M192:M202">((C192*56*0.0125)-(B192*56*0.01))/180</f>
        <v>0.4371111111111112</v>
      </c>
      <c r="N192" s="49">
        <f t="shared" si="79"/>
        <v>62</v>
      </c>
      <c r="P192" s="57">
        <f aca="true" t="shared" si="84" ref="P192:P202">(C192*56*0.0125)/180</f>
        <v>0.63</v>
      </c>
      <c r="Q192" s="69">
        <v>180</v>
      </c>
    </row>
    <row r="193" spans="1:17" ht="12.75">
      <c r="A193" s="67">
        <v>1992</v>
      </c>
      <c r="B193" s="1">
        <v>64</v>
      </c>
      <c r="C193" s="1">
        <v>121</v>
      </c>
      <c r="G193" s="1">
        <f t="shared" si="80"/>
        <v>121</v>
      </c>
      <c r="H193" s="1">
        <f t="shared" si="81"/>
        <v>0.5289256198347108</v>
      </c>
      <c r="I193" s="27">
        <f t="shared" si="72"/>
        <v>121</v>
      </c>
      <c r="J193" s="25">
        <f t="shared" si="73"/>
        <v>35.84</v>
      </c>
      <c r="K193" s="34">
        <f t="shared" si="82"/>
        <v>88.088</v>
      </c>
      <c r="L193" s="37">
        <f t="shared" si="75"/>
        <v>52.24799999999999</v>
      </c>
      <c r="M193" s="41">
        <f t="shared" si="83"/>
        <v>0.27144444444444443</v>
      </c>
      <c r="N193" s="49">
        <f t="shared" si="79"/>
        <v>64</v>
      </c>
      <c r="P193" s="57">
        <f t="shared" si="84"/>
        <v>0.47055555555555556</v>
      </c>
      <c r="Q193" s="69">
        <v>180</v>
      </c>
    </row>
    <row r="194" spans="1:17" ht="12.75">
      <c r="A194" s="67">
        <v>1993</v>
      </c>
      <c r="B194" s="1">
        <v>64</v>
      </c>
      <c r="C194" s="1">
        <v>156</v>
      </c>
      <c r="G194" s="1">
        <f t="shared" si="80"/>
        <v>156</v>
      </c>
      <c r="H194" s="1">
        <f t="shared" si="81"/>
        <v>0.41025641025641024</v>
      </c>
      <c r="I194" s="27">
        <f t="shared" si="72"/>
        <v>156</v>
      </c>
      <c r="J194" s="25">
        <f t="shared" si="73"/>
        <v>35.84</v>
      </c>
      <c r="K194" s="34">
        <f t="shared" si="82"/>
        <v>113.568</v>
      </c>
      <c r="L194" s="37">
        <f t="shared" si="75"/>
        <v>77.728</v>
      </c>
      <c r="M194" s="41">
        <f t="shared" si="83"/>
        <v>0.40755555555555556</v>
      </c>
      <c r="N194" s="49">
        <f t="shared" si="79"/>
        <v>64</v>
      </c>
      <c r="P194" s="57">
        <f t="shared" si="84"/>
        <v>0.6066666666666667</v>
      </c>
      <c r="Q194" s="69">
        <v>180</v>
      </c>
    </row>
    <row r="195" spans="1:17" ht="12.75">
      <c r="A195" s="67">
        <v>1994</v>
      </c>
      <c r="B195" s="1">
        <v>39</v>
      </c>
      <c r="C195" s="1">
        <v>135</v>
      </c>
      <c r="G195" s="1">
        <f t="shared" si="80"/>
        <v>135</v>
      </c>
      <c r="H195" s="1">
        <f t="shared" si="81"/>
        <v>0.28888888888888886</v>
      </c>
      <c r="I195" s="27">
        <f t="shared" si="72"/>
        <v>135</v>
      </c>
      <c r="J195" s="25">
        <f t="shared" si="73"/>
        <v>21.84</v>
      </c>
      <c r="K195" s="34">
        <f t="shared" si="82"/>
        <v>98.28</v>
      </c>
      <c r="L195" s="37">
        <f t="shared" si="75"/>
        <v>76.44</v>
      </c>
      <c r="M195" s="41">
        <f t="shared" si="83"/>
        <v>0.4036666666666667</v>
      </c>
      <c r="N195" s="49">
        <f t="shared" si="79"/>
        <v>39</v>
      </c>
      <c r="P195" s="57">
        <f t="shared" si="84"/>
        <v>0.525</v>
      </c>
      <c r="Q195" s="69">
        <v>180</v>
      </c>
    </row>
    <row r="196" spans="1:17" ht="12.75">
      <c r="A196" s="67">
        <v>1995</v>
      </c>
      <c r="B196" s="1">
        <v>51</v>
      </c>
      <c r="C196" s="1">
        <v>165</v>
      </c>
      <c r="G196" s="1">
        <f t="shared" si="80"/>
        <v>165</v>
      </c>
      <c r="H196" s="1">
        <f t="shared" si="81"/>
        <v>0.3090909090909091</v>
      </c>
      <c r="I196" s="27">
        <f t="shared" si="72"/>
        <v>165</v>
      </c>
      <c r="J196" s="25">
        <f t="shared" si="73"/>
        <v>28.560000000000002</v>
      </c>
      <c r="K196" s="34">
        <f t="shared" si="82"/>
        <v>120.11999999999999</v>
      </c>
      <c r="L196" s="37">
        <f t="shared" si="75"/>
        <v>91.55999999999999</v>
      </c>
      <c r="M196" s="41">
        <f t="shared" si="83"/>
        <v>0.483</v>
      </c>
      <c r="N196" s="49">
        <f t="shared" si="79"/>
        <v>51</v>
      </c>
      <c r="P196" s="57">
        <f t="shared" si="84"/>
        <v>0.6416666666666667</v>
      </c>
      <c r="Q196" s="69">
        <v>180</v>
      </c>
    </row>
    <row r="197" spans="1:17" ht="12.75">
      <c r="A197" s="67">
        <v>1996</v>
      </c>
      <c r="B197" s="1">
        <v>57</v>
      </c>
      <c r="C197" s="1">
        <v>178</v>
      </c>
      <c r="G197" s="1">
        <f t="shared" si="80"/>
        <v>178</v>
      </c>
      <c r="H197" s="1">
        <f t="shared" si="81"/>
        <v>0.3202247191011236</v>
      </c>
      <c r="I197" s="27">
        <f t="shared" si="72"/>
        <v>178</v>
      </c>
      <c r="J197" s="25">
        <f t="shared" si="73"/>
        <v>31.92</v>
      </c>
      <c r="K197" s="34">
        <f t="shared" si="82"/>
        <v>129.584</v>
      </c>
      <c r="L197" s="37">
        <f t="shared" si="75"/>
        <v>97.664</v>
      </c>
      <c r="M197" s="41">
        <f t="shared" si="83"/>
        <v>0.514888888888889</v>
      </c>
      <c r="N197" s="49">
        <f t="shared" si="79"/>
        <v>57</v>
      </c>
      <c r="P197" s="57">
        <f t="shared" si="84"/>
        <v>0.6922222222222223</v>
      </c>
      <c r="Q197" s="69">
        <v>180</v>
      </c>
    </row>
    <row r="198" spans="1:17" ht="12.75">
      <c r="A198" s="67">
        <v>1997</v>
      </c>
      <c r="B198" s="1">
        <v>68</v>
      </c>
      <c r="C198" s="1">
        <v>182</v>
      </c>
      <c r="G198" s="1">
        <f t="shared" si="80"/>
        <v>182</v>
      </c>
      <c r="H198" s="1">
        <f t="shared" si="81"/>
        <v>0.37362637362637363</v>
      </c>
      <c r="I198" s="27">
        <f t="shared" si="72"/>
        <v>182</v>
      </c>
      <c r="J198" s="25">
        <f t="shared" si="73"/>
        <v>38.08</v>
      </c>
      <c r="K198" s="34">
        <f t="shared" si="82"/>
        <v>132.49599999999998</v>
      </c>
      <c r="L198" s="37">
        <f t="shared" si="75"/>
        <v>94.41599999999998</v>
      </c>
      <c r="M198" s="41">
        <f t="shared" si="83"/>
        <v>0.4962222222222223</v>
      </c>
      <c r="N198" s="49">
        <f t="shared" si="79"/>
        <v>68</v>
      </c>
      <c r="P198" s="57">
        <f t="shared" si="84"/>
        <v>0.7077777777777778</v>
      </c>
      <c r="Q198" s="69">
        <v>180</v>
      </c>
    </row>
    <row r="199" spans="1:17" ht="12.75">
      <c r="A199" s="67">
        <v>1998</v>
      </c>
      <c r="B199" s="1">
        <v>68</v>
      </c>
      <c r="C199" s="1">
        <v>140</v>
      </c>
      <c r="G199" s="1">
        <f t="shared" si="80"/>
        <v>140</v>
      </c>
      <c r="H199" s="1">
        <f t="shared" si="81"/>
        <v>0.4857142857142857</v>
      </c>
      <c r="I199" s="27">
        <f t="shared" si="72"/>
        <v>140</v>
      </c>
      <c r="J199" s="25">
        <f t="shared" si="73"/>
        <v>38.08</v>
      </c>
      <c r="K199" s="34">
        <f t="shared" si="82"/>
        <v>101.92</v>
      </c>
      <c r="L199" s="37">
        <f t="shared" si="75"/>
        <v>63.84</v>
      </c>
      <c r="M199" s="41">
        <f t="shared" si="83"/>
        <v>0.3328888888888889</v>
      </c>
      <c r="N199" s="49">
        <f t="shared" si="79"/>
        <v>68</v>
      </c>
      <c r="P199" s="57">
        <f t="shared" si="84"/>
        <v>0.5444444444444444</v>
      </c>
      <c r="Q199" s="69">
        <v>180</v>
      </c>
    </row>
    <row r="200" spans="1:17" ht="12.75">
      <c r="A200" s="67">
        <v>1999</v>
      </c>
      <c r="B200" s="1">
        <v>66</v>
      </c>
      <c r="C200" s="1">
        <v>174</v>
      </c>
      <c r="G200" s="1">
        <f t="shared" si="80"/>
        <v>174</v>
      </c>
      <c r="H200" s="1">
        <f t="shared" si="81"/>
        <v>0.3793103448275862</v>
      </c>
      <c r="I200" s="27">
        <f t="shared" si="72"/>
        <v>174</v>
      </c>
      <c r="J200" s="25">
        <f t="shared" si="73"/>
        <v>36.96</v>
      </c>
      <c r="K200" s="34">
        <f t="shared" si="82"/>
        <v>126.672</v>
      </c>
      <c r="L200" s="37">
        <f t="shared" si="75"/>
        <v>89.71199999999999</v>
      </c>
      <c r="M200" s="41">
        <f t="shared" si="83"/>
        <v>0.4713333333333333</v>
      </c>
      <c r="N200" s="49">
        <f t="shared" si="79"/>
        <v>66</v>
      </c>
      <c r="P200" s="57">
        <f t="shared" si="84"/>
        <v>0.6766666666666667</v>
      </c>
      <c r="Q200" s="69">
        <v>180</v>
      </c>
    </row>
    <row r="201" spans="1:17" ht="12.75">
      <c r="A201" s="67">
        <v>2000</v>
      </c>
      <c r="B201" s="1">
        <v>65</v>
      </c>
      <c r="C201" s="1">
        <v>186</v>
      </c>
      <c r="G201" s="1">
        <f t="shared" si="80"/>
        <v>186</v>
      </c>
      <c r="H201" s="1">
        <f t="shared" si="81"/>
        <v>0.34946236559139787</v>
      </c>
      <c r="I201" s="27">
        <f t="shared" si="72"/>
        <v>186</v>
      </c>
      <c r="J201" s="25">
        <f t="shared" si="73"/>
        <v>36.4</v>
      </c>
      <c r="K201" s="34">
        <f t="shared" si="82"/>
        <v>135.408</v>
      </c>
      <c r="L201" s="37">
        <f t="shared" si="75"/>
        <v>99.00799999999998</v>
      </c>
      <c r="M201" s="41">
        <f t="shared" si="83"/>
        <v>0.5211111111111112</v>
      </c>
      <c r="N201" s="49">
        <f t="shared" si="79"/>
        <v>65</v>
      </c>
      <c r="P201" s="57">
        <f t="shared" si="84"/>
        <v>0.7233333333333334</v>
      </c>
      <c r="Q201" s="69">
        <v>180</v>
      </c>
    </row>
    <row r="202" spans="1:17" ht="12.75">
      <c r="A202" s="67">
        <v>2001</v>
      </c>
      <c r="B202" s="1">
        <v>67</v>
      </c>
      <c r="C202" s="1">
        <v>169</v>
      </c>
      <c r="G202" s="1">
        <f t="shared" si="80"/>
        <v>169</v>
      </c>
      <c r="H202" s="1">
        <f t="shared" si="81"/>
        <v>0.39644970414201186</v>
      </c>
      <c r="I202" s="27">
        <f t="shared" si="72"/>
        <v>169</v>
      </c>
      <c r="J202" s="25">
        <f t="shared" si="73"/>
        <v>37.52</v>
      </c>
      <c r="K202" s="34">
        <f t="shared" si="82"/>
        <v>123.032</v>
      </c>
      <c r="L202" s="37">
        <f t="shared" si="75"/>
        <v>85.512</v>
      </c>
      <c r="M202" s="41">
        <f t="shared" si="83"/>
        <v>0.4487777777777778</v>
      </c>
      <c r="N202" s="49">
        <f t="shared" si="79"/>
        <v>67</v>
      </c>
      <c r="P202" s="57">
        <f t="shared" si="84"/>
        <v>0.6572222222222223</v>
      </c>
      <c r="Q202" s="69">
        <v>180</v>
      </c>
    </row>
  </sheetData>
  <printOptions/>
  <pageMargins left="0.75" right="0.75" top="1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zoomScale="85" zoomScaleNormal="85" workbookViewId="0" topLeftCell="A1">
      <selection activeCell="X16" sqref="X16"/>
    </sheetView>
  </sheetViews>
  <sheetFormatPr defaultColWidth="9.140625" defaultRowHeight="12.75"/>
  <cols>
    <col min="2" max="2" width="9.140625" style="1" customWidth="1"/>
    <col min="3" max="8" width="8.7109375" style="1" customWidth="1"/>
    <col min="9" max="9" width="9.140625" style="27" customWidth="1"/>
    <col min="10" max="10" width="9.140625" style="29" customWidth="1"/>
    <col min="11" max="11" width="9.140625" style="32" customWidth="1"/>
    <col min="12" max="12" width="8.7109375" style="39" customWidth="1"/>
    <col min="13" max="13" width="8.7109375" style="41" customWidth="1"/>
    <col min="14" max="14" width="8.7109375" style="49" customWidth="1"/>
    <col min="15" max="15" width="8.7109375" style="59" customWidth="1"/>
    <col min="16" max="16" width="8.7109375" style="55" customWidth="1"/>
    <col min="17" max="20" width="8.7109375" style="69" customWidth="1"/>
  </cols>
  <sheetData>
    <row r="1" spans="9:20" ht="12.75">
      <c r="I1" s="47"/>
      <c r="J1" s="48" t="s">
        <v>35</v>
      </c>
      <c r="K1" s="47"/>
      <c r="L1" s="47"/>
      <c r="M1" s="47"/>
      <c r="N1" s="47"/>
      <c r="O1" s="47"/>
      <c r="P1" s="47"/>
      <c r="Q1" s="68"/>
      <c r="R1" s="68"/>
      <c r="S1" s="68"/>
      <c r="T1" s="68"/>
    </row>
    <row r="2" spans="9:16" ht="12.75">
      <c r="I2" s="26" t="s">
        <v>22</v>
      </c>
      <c r="J2" s="23" t="s">
        <v>29</v>
      </c>
      <c r="K2" s="31" t="s">
        <v>30</v>
      </c>
      <c r="L2" s="40" t="s">
        <v>2</v>
      </c>
      <c r="N2" s="50" t="s">
        <v>36</v>
      </c>
      <c r="O2" s="60"/>
      <c r="P2" s="56"/>
    </row>
    <row r="3" spans="2:16" ht="12.75">
      <c r="B3" s="23" t="s">
        <v>0</v>
      </c>
      <c r="C3" s="23"/>
      <c r="E3" s="23"/>
      <c r="F3" s="23"/>
      <c r="G3" s="23"/>
      <c r="I3" s="27" t="s">
        <v>34</v>
      </c>
      <c r="J3" s="29" t="s">
        <v>33</v>
      </c>
      <c r="K3" s="32" t="s">
        <v>33</v>
      </c>
      <c r="M3" s="42"/>
      <c r="N3" s="51" t="s">
        <v>34</v>
      </c>
      <c r="O3" s="61"/>
      <c r="P3" s="21"/>
    </row>
    <row r="4" spans="4:16" ht="12.75">
      <c r="D4" s="25" t="s">
        <v>1</v>
      </c>
      <c r="L4" s="35"/>
      <c r="M4" s="42">
        <v>180</v>
      </c>
      <c r="N4" s="52"/>
      <c r="O4" s="62"/>
      <c r="P4" s="22"/>
    </row>
    <row r="5" spans="1:20" ht="12.75">
      <c r="A5" s="72" t="s">
        <v>47</v>
      </c>
      <c r="B5" s="23" t="s">
        <v>6</v>
      </c>
      <c r="C5" s="24">
        <v>0</v>
      </c>
      <c r="D5" s="24">
        <v>90</v>
      </c>
      <c r="E5" s="24">
        <v>180</v>
      </c>
      <c r="F5" s="24">
        <v>270</v>
      </c>
      <c r="G5" s="24" t="s">
        <v>4</v>
      </c>
      <c r="H5" s="1" t="s">
        <v>5</v>
      </c>
      <c r="I5" s="27" t="s">
        <v>18</v>
      </c>
      <c r="J5" s="30" t="s">
        <v>14</v>
      </c>
      <c r="K5" s="33" t="s">
        <v>15</v>
      </c>
      <c r="L5" s="36" t="s">
        <v>2</v>
      </c>
      <c r="M5" s="46" t="s">
        <v>31</v>
      </c>
      <c r="N5" s="50" t="s">
        <v>36</v>
      </c>
      <c r="O5" s="60" t="s">
        <v>37</v>
      </c>
      <c r="P5" s="56" t="s">
        <v>40</v>
      </c>
      <c r="Q5" s="71" t="s">
        <v>46</v>
      </c>
      <c r="R5" s="71" t="s">
        <v>55</v>
      </c>
      <c r="S5" s="71" t="s">
        <v>56</v>
      </c>
      <c r="T5" s="71"/>
    </row>
    <row r="6" spans="1:24" ht="12.75">
      <c r="A6" s="72" t="s">
        <v>47</v>
      </c>
      <c r="B6" s="3">
        <v>1969</v>
      </c>
      <c r="C6" s="57">
        <v>148</v>
      </c>
      <c r="D6" s="21">
        <v>167</v>
      </c>
      <c r="E6" s="57">
        <v>175</v>
      </c>
      <c r="F6" s="57">
        <v>164</v>
      </c>
      <c r="G6" s="3">
        <f>MAX(C6:F6)</f>
        <v>175</v>
      </c>
      <c r="H6" s="1">
        <f>C6/E6</f>
        <v>0.8457142857142858</v>
      </c>
      <c r="I6" s="27">
        <f>MAX(C6:F6)</f>
        <v>175</v>
      </c>
      <c r="J6" s="25">
        <f>(C6*56*0.01)</f>
        <v>82.88</v>
      </c>
      <c r="K6" s="34">
        <f>D6*56*0.0125</f>
        <v>116.9</v>
      </c>
      <c r="L6" s="37">
        <f>K6-J6</f>
        <v>34.02000000000001</v>
      </c>
      <c r="M6" s="41">
        <f>((D6*56*0.0125)-(C6*56*0.01))/90</f>
        <v>0.3780000000000001</v>
      </c>
      <c r="N6" s="53">
        <f>C6</f>
        <v>148</v>
      </c>
      <c r="O6" s="63">
        <f>D6/(MAX(D6:F6))</f>
        <v>0.9542857142857143</v>
      </c>
      <c r="P6" s="57">
        <f>(E6*56*0.0125)/180</f>
        <v>0.6805555555555556</v>
      </c>
      <c r="Q6" s="69">
        <v>90</v>
      </c>
      <c r="R6" s="69">
        <f>E6/C6</f>
        <v>1.1824324324324325</v>
      </c>
      <c r="U6" s="24">
        <v>0</v>
      </c>
      <c r="V6" s="24">
        <v>90</v>
      </c>
      <c r="W6" s="80">
        <v>180</v>
      </c>
      <c r="X6" s="24">
        <v>270</v>
      </c>
    </row>
    <row r="7" spans="1:19" ht="12.75">
      <c r="A7" s="72" t="s">
        <v>47</v>
      </c>
      <c r="B7" s="11">
        <v>1970</v>
      </c>
      <c r="C7" s="57">
        <v>98</v>
      </c>
      <c r="D7" s="57">
        <v>127</v>
      </c>
      <c r="E7" s="57">
        <v>133</v>
      </c>
      <c r="F7" s="21">
        <v>140</v>
      </c>
      <c r="G7" s="3">
        <f aca="true" t="shared" si="0" ref="G7:G20">MAX(C7:F7)</f>
        <v>140</v>
      </c>
      <c r="H7" s="1">
        <f aca="true" t="shared" si="1" ref="H7:H41">C7/E7</f>
        <v>0.7368421052631579</v>
      </c>
      <c r="I7" s="27">
        <f aca="true" t="shared" si="2" ref="I7:I20">MAX(C7:F7)</f>
        <v>140</v>
      </c>
      <c r="J7" s="25">
        <f aca="true" t="shared" si="3" ref="J7:J20">(C7*56*0.01)</f>
        <v>54.88</v>
      </c>
      <c r="K7" s="34">
        <f aca="true" t="shared" si="4" ref="K7:K20">D7*56*0.0125</f>
        <v>88.9</v>
      </c>
      <c r="L7" s="37">
        <f aca="true" t="shared" si="5" ref="L7:L20">K7-J7</f>
        <v>34.02</v>
      </c>
      <c r="M7" s="41">
        <f aca="true" t="shared" si="6" ref="M7:M20">((D7*56*0.0125)-(C7*56*0.01))/90</f>
        <v>0.37800000000000006</v>
      </c>
      <c r="N7" s="53">
        <f aca="true" t="shared" si="7" ref="N7:N20">C7</f>
        <v>98</v>
      </c>
      <c r="O7" s="63">
        <f aca="true" t="shared" si="8" ref="O7:O20">D7/(MAX(D7:F7))</f>
        <v>0.9071428571428571</v>
      </c>
      <c r="P7" s="57">
        <f aca="true" t="shared" si="9" ref="P7:P20">(E7*56*0.0125)/180</f>
        <v>0.5172222222222222</v>
      </c>
      <c r="Q7" s="69">
        <v>90</v>
      </c>
      <c r="R7" s="69">
        <f aca="true" t="shared" si="10" ref="R7:R20">E7/C7</f>
        <v>1.3571428571428572</v>
      </c>
      <c r="S7" s="69">
        <f>R6*(C6*56*1.12/1000)*H6</f>
        <v>9.282560000000002</v>
      </c>
    </row>
    <row r="8" spans="1:19" ht="12.75">
      <c r="A8" s="72" t="s">
        <v>47</v>
      </c>
      <c r="B8" s="11">
        <v>1971</v>
      </c>
      <c r="C8" s="57">
        <v>101</v>
      </c>
      <c r="D8" s="57">
        <v>154</v>
      </c>
      <c r="E8" s="57">
        <v>144</v>
      </c>
      <c r="F8" s="21">
        <v>163</v>
      </c>
      <c r="G8" s="3">
        <f t="shared" si="0"/>
        <v>163</v>
      </c>
      <c r="H8" s="1">
        <f t="shared" si="1"/>
        <v>0.7013888888888888</v>
      </c>
      <c r="I8" s="27">
        <f t="shared" si="2"/>
        <v>163</v>
      </c>
      <c r="J8" s="25">
        <f t="shared" si="3"/>
        <v>56.56</v>
      </c>
      <c r="K8" s="34">
        <f t="shared" si="4"/>
        <v>107.80000000000001</v>
      </c>
      <c r="L8" s="37">
        <f t="shared" si="5"/>
        <v>51.24000000000001</v>
      </c>
      <c r="M8" s="41">
        <f t="shared" si="6"/>
        <v>0.5693333333333335</v>
      </c>
      <c r="N8" s="53">
        <f t="shared" si="7"/>
        <v>101</v>
      </c>
      <c r="O8" s="63">
        <f t="shared" si="8"/>
        <v>0.9447852760736196</v>
      </c>
      <c r="P8" s="57">
        <f t="shared" si="9"/>
        <v>0.56</v>
      </c>
      <c r="Q8" s="69">
        <v>90</v>
      </c>
      <c r="R8" s="69">
        <f t="shared" si="10"/>
        <v>1.4257425742574257</v>
      </c>
      <c r="S8" s="69">
        <f aca="true" t="shared" si="11" ref="S8:S20">R7*(C7*56*1.12/1000)*H7</f>
        <v>6.14656</v>
      </c>
    </row>
    <row r="9" spans="1:19" ht="12.75">
      <c r="A9" s="72" t="s">
        <v>47</v>
      </c>
      <c r="B9" s="11">
        <v>1972</v>
      </c>
      <c r="C9" s="57">
        <v>67</v>
      </c>
      <c r="D9" s="57">
        <v>142</v>
      </c>
      <c r="E9" s="21">
        <v>152</v>
      </c>
      <c r="F9" s="57">
        <v>159</v>
      </c>
      <c r="G9" s="3">
        <f t="shared" si="0"/>
        <v>159</v>
      </c>
      <c r="H9" s="1">
        <f t="shared" si="1"/>
        <v>0.4407894736842105</v>
      </c>
      <c r="I9" s="27">
        <f t="shared" si="2"/>
        <v>159</v>
      </c>
      <c r="J9" s="25">
        <f t="shared" si="3"/>
        <v>37.52</v>
      </c>
      <c r="K9" s="34">
        <f t="shared" si="4"/>
        <v>99.4</v>
      </c>
      <c r="L9" s="37">
        <f t="shared" si="5"/>
        <v>61.88</v>
      </c>
      <c r="M9" s="41">
        <f t="shared" si="6"/>
        <v>0.6875555555555556</v>
      </c>
      <c r="N9" s="53">
        <f t="shared" si="7"/>
        <v>67</v>
      </c>
      <c r="O9" s="63">
        <f t="shared" si="8"/>
        <v>0.8930817610062893</v>
      </c>
      <c r="P9" s="57">
        <f t="shared" si="9"/>
        <v>0.5911111111111111</v>
      </c>
      <c r="Q9" s="69">
        <v>90</v>
      </c>
      <c r="R9" s="69">
        <f t="shared" si="10"/>
        <v>2.2686567164179103</v>
      </c>
      <c r="S9" s="69">
        <f t="shared" si="11"/>
        <v>6.334719999999999</v>
      </c>
    </row>
    <row r="10" spans="1:19" ht="12.75">
      <c r="A10" s="72" t="s">
        <v>47</v>
      </c>
      <c r="B10" s="11">
        <v>1973</v>
      </c>
      <c r="C10" s="57">
        <v>96</v>
      </c>
      <c r="D10" s="57">
        <v>131</v>
      </c>
      <c r="E10" s="21">
        <v>140</v>
      </c>
      <c r="F10" s="57">
        <v>137</v>
      </c>
      <c r="G10" s="3">
        <f t="shared" si="0"/>
        <v>140</v>
      </c>
      <c r="H10" s="1">
        <f t="shared" si="1"/>
        <v>0.6857142857142857</v>
      </c>
      <c r="I10" s="27">
        <f t="shared" si="2"/>
        <v>140</v>
      </c>
      <c r="J10" s="25">
        <f t="shared" si="3"/>
        <v>53.76</v>
      </c>
      <c r="K10" s="34">
        <f t="shared" si="4"/>
        <v>91.7</v>
      </c>
      <c r="L10" s="37">
        <f t="shared" si="5"/>
        <v>37.940000000000005</v>
      </c>
      <c r="M10" s="41">
        <f t="shared" si="6"/>
        <v>0.4215555555555556</v>
      </c>
      <c r="N10" s="53">
        <f t="shared" si="7"/>
        <v>96</v>
      </c>
      <c r="O10" s="63">
        <f t="shared" si="8"/>
        <v>0.9357142857142857</v>
      </c>
      <c r="P10" s="57">
        <f t="shared" si="9"/>
        <v>0.5444444444444444</v>
      </c>
      <c r="Q10" s="69">
        <v>90</v>
      </c>
      <c r="R10" s="69">
        <f t="shared" si="10"/>
        <v>1.4583333333333333</v>
      </c>
      <c r="S10" s="69">
        <f t="shared" si="11"/>
        <v>4.20224</v>
      </c>
    </row>
    <row r="11" spans="1:19" ht="12.75">
      <c r="A11" s="72" t="s">
        <v>47</v>
      </c>
      <c r="B11" s="11">
        <v>1974</v>
      </c>
      <c r="C11" s="57">
        <v>68</v>
      </c>
      <c r="D11" s="21">
        <v>108</v>
      </c>
      <c r="E11" s="57">
        <v>118</v>
      </c>
      <c r="F11" s="57">
        <v>118</v>
      </c>
      <c r="G11" s="3">
        <f t="shared" si="0"/>
        <v>118</v>
      </c>
      <c r="H11" s="1">
        <f t="shared" si="1"/>
        <v>0.576271186440678</v>
      </c>
      <c r="I11" s="27">
        <f t="shared" si="2"/>
        <v>118</v>
      </c>
      <c r="J11" s="25">
        <f t="shared" si="3"/>
        <v>38.08</v>
      </c>
      <c r="K11" s="34">
        <f t="shared" si="4"/>
        <v>75.60000000000001</v>
      </c>
      <c r="L11" s="37">
        <f t="shared" si="5"/>
        <v>37.52000000000001</v>
      </c>
      <c r="M11" s="41">
        <f t="shared" si="6"/>
        <v>0.416888888888889</v>
      </c>
      <c r="N11" s="53">
        <f t="shared" si="7"/>
        <v>68</v>
      </c>
      <c r="O11" s="63">
        <f t="shared" si="8"/>
        <v>0.9152542372881356</v>
      </c>
      <c r="P11" s="57">
        <f t="shared" si="9"/>
        <v>0.45888888888888896</v>
      </c>
      <c r="Q11" s="69">
        <v>90</v>
      </c>
      <c r="R11" s="69">
        <f t="shared" si="10"/>
        <v>1.7352941176470589</v>
      </c>
      <c r="S11" s="69">
        <f t="shared" si="11"/>
        <v>6.021120000000001</v>
      </c>
    </row>
    <row r="12" spans="1:19" ht="12.75">
      <c r="A12" s="72" t="s">
        <v>47</v>
      </c>
      <c r="B12" s="11">
        <v>1975</v>
      </c>
      <c r="C12" s="57">
        <v>41</v>
      </c>
      <c r="D12" s="57">
        <v>131</v>
      </c>
      <c r="E12" s="21">
        <v>142</v>
      </c>
      <c r="F12" s="57">
        <v>138</v>
      </c>
      <c r="G12" s="3">
        <f t="shared" si="0"/>
        <v>142</v>
      </c>
      <c r="H12" s="1">
        <f t="shared" si="1"/>
        <v>0.2887323943661972</v>
      </c>
      <c r="I12" s="27">
        <f t="shared" si="2"/>
        <v>142</v>
      </c>
      <c r="J12" s="25">
        <f t="shared" si="3"/>
        <v>22.96</v>
      </c>
      <c r="K12" s="34">
        <f t="shared" si="4"/>
        <v>91.7</v>
      </c>
      <c r="L12" s="37">
        <f t="shared" si="5"/>
        <v>68.74000000000001</v>
      </c>
      <c r="M12" s="41">
        <f t="shared" si="6"/>
        <v>0.7637777777777779</v>
      </c>
      <c r="N12" s="53">
        <f t="shared" si="7"/>
        <v>41</v>
      </c>
      <c r="O12" s="63">
        <f t="shared" si="8"/>
        <v>0.9225352112676056</v>
      </c>
      <c r="P12" s="57">
        <f t="shared" si="9"/>
        <v>0.5522222222222223</v>
      </c>
      <c r="Q12" s="69">
        <v>90</v>
      </c>
      <c r="R12" s="69">
        <f t="shared" si="10"/>
        <v>3.4634146341463414</v>
      </c>
      <c r="S12" s="69">
        <f t="shared" si="11"/>
        <v>4.26496</v>
      </c>
    </row>
    <row r="13" spans="1:19" ht="12.75">
      <c r="A13" s="72" t="s">
        <v>47</v>
      </c>
      <c r="B13" s="11">
        <v>1976</v>
      </c>
      <c r="C13" s="57">
        <v>96</v>
      </c>
      <c r="D13" s="21">
        <v>139</v>
      </c>
      <c r="E13" s="57">
        <v>135</v>
      </c>
      <c r="F13" s="57">
        <v>145</v>
      </c>
      <c r="G13" s="3">
        <f t="shared" si="0"/>
        <v>145</v>
      </c>
      <c r="H13" s="1">
        <f t="shared" si="1"/>
        <v>0.7111111111111111</v>
      </c>
      <c r="I13" s="27">
        <f t="shared" si="2"/>
        <v>145</v>
      </c>
      <c r="J13" s="25">
        <f t="shared" si="3"/>
        <v>53.76</v>
      </c>
      <c r="K13" s="34">
        <f t="shared" si="4"/>
        <v>97.30000000000001</v>
      </c>
      <c r="L13" s="37">
        <f t="shared" si="5"/>
        <v>43.54000000000001</v>
      </c>
      <c r="M13" s="41">
        <f t="shared" si="6"/>
        <v>0.4837777777777779</v>
      </c>
      <c r="N13" s="53">
        <f t="shared" si="7"/>
        <v>96</v>
      </c>
      <c r="O13" s="63">
        <f t="shared" si="8"/>
        <v>0.9586206896551724</v>
      </c>
      <c r="P13" s="57">
        <f t="shared" si="9"/>
        <v>0.525</v>
      </c>
      <c r="Q13" s="69">
        <v>90</v>
      </c>
      <c r="R13" s="69">
        <f t="shared" si="10"/>
        <v>1.40625</v>
      </c>
      <c r="S13" s="69">
        <f t="shared" si="11"/>
        <v>2.5715200000000005</v>
      </c>
    </row>
    <row r="14" spans="1:19" ht="12.75">
      <c r="A14" s="72" t="s">
        <v>47</v>
      </c>
      <c r="B14" s="11">
        <v>1977</v>
      </c>
      <c r="C14" s="57">
        <v>84</v>
      </c>
      <c r="D14" s="57">
        <v>107</v>
      </c>
      <c r="E14" s="21">
        <v>121</v>
      </c>
      <c r="F14" s="57">
        <v>117</v>
      </c>
      <c r="G14" s="3">
        <f t="shared" si="0"/>
        <v>121</v>
      </c>
      <c r="H14" s="1">
        <f t="shared" si="1"/>
        <v>0.6942148760330579</v>
      </c>
      <c r="I14" s="27">
        <f t="shared" si="2"/>
        <v>121</v>
      </c>
      <c r="J14" s="25">
        <f t="shared" si="3"/>
        <v>47.04</v>
      </c>
      <c r="K14" s="34">
        <f t="shared" si="4"/>
        <v>74.9</v>
      </c>
      <c r="L14" s="37">
        <f t="shared" si="5"/>
        <v>27.860000000000007</v>
      </c>
      <c r="M14" s="41">
        <f t="shared" si="6"/>
        <v>0.30955555555555564</v>
      </c>
      <c r="N14" s="53">
        <f t="shared" si="7"/>
        <v>84</v>
      </c>
      <c r="O14" s="63">
        <f t="shared" si="8"/>
        <v>0.8842975206611571</v>
      </c>
      <c r="P14" s="57">
        <f t="shared" si="9"/>
        <v>0.47055555555555556</v>
      </c>
      <c r="Q14" s="69">
        <v>90</v>
      </c>
      <c r="R14" s="69">
        <f t="shared" si="10"/>
        <v>1.4404761904761905</v>
      </c>
      <c r="S14" s="69">
        <f t="shared" si="11"/>
        <v>6.021120000000002</v>
      </c>
    </row>
    <row r="15" spans="1:19" ht="12.75">
      <c r="A15" s="72" t="s">
        <v>47</v>
      </c>
      <c r="B15" s="11">
        <v>1978</v>
      </c>
      <c r="C15" s="57">
        <v>149</v>
      </c>
      <c r="D15" s="21">
        <v>181</v>
      </c>
      <c r="E15" s="57">
        <v>175</v>
      </c>
      <c r="F15" s="57">
        <v>181</v>
      </c>
      <c r="G15" s="3">
        <f t="shared" si="0"/>
        <v>181</v>
      </c>
      <c r="H15" s="1">
        <f t="shared" si="1"/>
        <v>0.8514285714285714</v>
      </c>
      <c r="I15" s="27">
        <f t="shared" si="2"/>
        <v>181</v>
      </c>
      <c r="J15" s="25">
        <f t="shared" si="3"/>
        <v>83.44</v>
      </c>
      <c r="K15" s="34">
        <f t="shared" si="4"/>
        <v>126.7</v>
      </c>
      <c r="L15" s="37">
        <f t="shared" si="5"/>
        <v>43.260000000000005</v>
      </c>
      <c r="M15" s="41">
        <f t="shared" si="6"/>
        <v>0.48066666666666674</v>
      </c>
      <c r="N15" s="53">
        <f t="shared" si="7"/>
        <v>149</v>
      </c>
      <c r="O15" s="63">
        <f t="shared" si="8"/>
        <v>1</v>
      </c>
      <c r="P15" s="57">
        <f t="shared" si="9"/>
        <v>0.6805555555555556</v>
      </c>
      <c r="Q15" s="69">
        <v>90</v>
      </c>
      <c r="R15" s="69">
        <f t="shared" si="10"/>
        <v>1.174496644295302</v>
      </c>
      <c r="S15" s="69">
        <f t="shared" si="11"/>
        <v>5.26848</v>
      </c>
    </row>
    <row r="16" spans="1:19" ht="12.75">
      <c r="A16" s="72" t="s">
        <v>47</v>
      </c>
      <c r="B16" s="11">
        <v>1979</v>
      </c>
      <c r="C16" s="57">
        <v>93</v>
      </c>
      <c r="D16" s="21">
        <v>170</v>
      </c>
      <c r="E16" s="57">
        <v>173</v>
      </c>
      <c r="F16" s="57">
        <v>171</v>
      </c>
      <c r="G16" s="3">
        <f t="shared" si="0"/>
        <v>173</v>
      </c>
      <c r="H16" s="1">
        <f t="shared" si="1"/>
        <v>0.5375722543352601</v>
      </c>
      <c r="I16" s="27">
        <f t="shared" si="2"/>
        <v>173</v>
      </c>
      <c r="J16" s="25">
        <f t="shared" si="3"/>
        <v>52.08</v>
      </c>
      <c r="K16" s="34">
        <f t="shared" si="4"/>
        <v>119</v>
      </c>
      <c r="L16" s="37">
        <f t="shared" si="5"/>
        <v>66.92</v>
      </c>
      <c r="M16" s="41">
        <f t="shared" si="6"/>
        <v>0.7435555555555555</v>
      </c>
      <c r="N16" s="53">
        <f t="shared" si="7"/>
        <v>93</v>
      </c>
      <c r="O16" s="63">
        <f t="shared" si="8"/>
        <v>0.9826589595375722</v>
      </c>
      <c r="P16" s="57">
        <f t="shared" si="9"/>
        <v>0.6727777777777778</v>
      </c>
      <c r="Q16" s="69">
        <v>90</v>
      </c>
      <c r="R16" s="69">
        <f t="shared" si="10"/>
        <v>1.8602150537634408</v>
      </c>
      <c r="S16" s="69">
        <f t="shared" si="11"/>
        <v>9.34528</v>
      </c>
    </row>
    <row r="17" spans="1:19" ht="12.75">
      <c r="A17" s="72" t="s">
        <v>47</v>
      </c>
      <c r="B17" s="11">
        <v>1980</v>
      </c>
      <c r="C17" s="57">
        <v>61</v>
      </c>
      <c r="D17" s="21">
        <v>139</v>
      </c>
      <c r="E17" s="57">
        <v>144</v>
      </c>
      <c r="F17" s="57">
        <v>143</v>
      </c>
      <c r="G17" s="3">
        <f t="shared" si="0"/>
        <v>144</v>
      </c>
      <c r="H17" s="1">
        <f t="shared" si="1"/>
        <v>0.4236111111111111</v>
      </c>
      <c r="I17" s="27">
        <f t="shared" si="2"/>
        <v>144</v>
      </c>
      <c r="J17" s="25">
        <f t="shared" si="3"/>
        <v>34.160000000000004</v>
      </c>
      <c r="K17" s="34">
        <f t="shared" si="4"/>
        <v>97.30000000000001</v>
      </c>
      <c r="L17" s="37">
        <f t="shared" si="5"/>
        <v>63.14000000000001</v>
      </c>
      <c r="M17" s="41">
        <f t="shared" si="6"/>
        <v>0.7015555555555556</v>
      </c>
      <c r="N17" s="53">
        <f t="shared" si="7"/>
        <v>61</v>
      </c>
      <c r="O17" s="63">
        <f t="shared" si="8"/>
        <v>0.9652777777777778</v>
      </c>
      <c r="P17" s="57">
        <f t="shared" si="9"/>
        <v>0.56</v>
      </c>
      <c r="Q17" s="69">
        <v>90</v>
      </c>
      <c r="R17" s="69">
        <f t="shared" si="10"/>
        <v>2.360655737704918</v>
      </c>
      <c r="S17" s="69">
        <f t="shared" si="11"/>
        <v>5.832960000000001</v>
      </c>
    </row>
    <row r="18" spans="1:19" ht="12.75">
      <c r="A18" s="72" t="s">
        <v>47</v>
      </c>
      <c r="B18" s="11">
        <v>1981</v>
      </c>
      <c r="C18" s="57">
        <v>108</v>
      </c>
      <c r="D18" s="57">
        <v>137</v>
      </c>
      <c r="E18" s="57">
        <v>144</v>
      </c>
      <c r="F18" s="21">
        <v>149</v>
      </c>
      <c r="G18" s="3">
        <f t="shared" si="0"/>
        <v>149</v>
      </c>
      <c r="H18" s="1">
        <f t="shared" si="1"/>
        <v>0.75</v>
      </c>
      <c r="I18" s="27">
        <f t="shared" si="2"/>
        <v>149</v>
      </c>
      <c r="J18" s="25">
        <f t="shared" si="3"/>
        <v>60.480000000000004</v>
      </c>
      <c r="K18" s="34">
        <f t="shared" si="4"/>
        <v>95.9</v>
      </c>
      <c r="L18" s="37">
        <f t="shared" si="5"/>
        <v>35.42</v>
      </c>
      <c r="M18" s="41">
        <f t="shared" si="6"/>
        <v>0.39355555555555555</v>
      </c>
      <c r="N18" s="53">
        <f t="shared" si="7"/>
        <v>108</v>
      </c>
      <c r="O18" s="63">
        <f t="shared" si="8"/>
        <v>0.9194630872483222</v>
      </c>
      <c r="P18" s="57">
        <f t="shared" si="9"/>
        <v>0.56</v>
      </c>
      <c r="Q18" s="69">
        <v>90</v>
      </c>
      <c r="R18" s="69">
        <f t="shared" si="10"/>
        <v>1.3333333333333333</v>
      </c>
      <c r="S18" s="69">
        <f t="shared" si="11"/>
        <v>3.8259200000000004</v>
      </c>
    </row>
    <row r="19" spans="1:19" ht="12.75">
      <c r="A19" s="72" t="s">
        <v>47</v>
      </c>
      <c r="B19" s="11">
        <v>1982</v>
      </c>
      <c r="C19" s="57">
        <v>75</v>
      </c>
      <c r="D19" s="57">
        <v>145</v>
      </c>
      <c r="E19" s="57">
        <v>155</v>
      </c>
      <c r="F19" s="21">
        <v>165</v>
      </c>
      <c r="G19" s="3">
        <f t="shared" si="0"/>
        <v>165</v>
      </c>
      <c r="H19" s="1">
        <f t="shared" si="1"/>
        <v>0.4838709677419355</v>
      </c>
      <c r="I19" s="27">
        <f t="shared" si="2"/>
        <v>165</v>
      </c>
      <c r="J19" s="25">
        <f t="shared" si="3"/>
        <v>42</v>
      </c>
      <c r="K19" s="34">
        <f t="shared" si="4"/>
        <v>101.5</v>
      </c>
      <c r="L19" s="37">
        <f t="shared" si="5"/>
        <v>59.5</v>
      </c>
      <c r="M19" s="41">
        <f t="shared" si="6"/>
        <v>0.6611111111111111</v>
      </c>
      <c r="N19" s="53">
        <f t="shared" si="7"/>
        <v>75</v>
      </c>
      <c r="O19" s="63">
        <f t="shared" si="8"/>
        <v>0.8787878787878788</v>
      </c>
      <c r="P19" s="57">
        <f t="shared" si="9"/>
        <v>0.6027777777777777</v>
      </c>
      <c r="Q19" s="69">
        <v>90</v>
      </c>
      <c r="R19" s="69">
        <f t="shared" si="10"/>
        <v>2.066666666666667</v>
      </c>
      <c r="S19" s="69">
        <f t="shared" si="11"/>
        <v>6.773759999999999</v>
      </c>
    </row>
    <row r="20" spans="1:19" ht="12.75">
      <c r="A20" s="72" t="s">
        <v>47</v>
      </c>
      <c r="B20" s="3">
        <v>1983</v>
      </c>
      <c r="C20" s="57">
        <v>54</v>
      </c>
      <c r="D20" s="57">
        <v>118</v>
      </c>
      <c r="E20" s="57">
        <v>119</v>
      </c>
      <c r="F20" s="21">
        <v>126</v>
      </c>
      <c r="G20" s="3">
        <f t="shared" si="0"/>
        <v>126</v>
      </c>
      <c r="H20" s="1">
        <f t="shared" si="1"/>
        <v>0.453781512605042</v>
      </c>
      <c r="I20" s="27">
        <f t="shared" si="2"/>
        <v>126</v>
      </c>
      <c r="J20" s="25">
        <f t="shared" si="3"/>
        <v>30.240000000000002</v>
      </c>
      <c r="K20" s="34">
        <f t="shared" si="4"/>
        <v>82.60000000000001</v>
      </c>
      <c r="L20" s="37">
        <f t="shared" si="5"/>
        <v>52.36000000000001</v>
      </c>
      <c r="M20" s="41">
        <f t="shared" si="6"/>
        <v>0.5817777777777778</v>
      </c>
      <c r="N20" s="53">
        <f t="shared" si="7"/>
        <v>54</v>
      </c>
      <c r="O20" s="63">
        <f t="shared" si="8"/>
        <v>0.9365079365079365</v>
      </c>
      <c r="P20" s="57">
        <f t="shared" si="9"/>
        <v>0.46277777777777784</v>
      </c>
      <c r="Q20" s="69">
        <v>90</v>
      </c>
      <c r="R20" s="69">
        <f t="shared" si="10"/>
        <v>2.2037037037037037</v>
      </c>
      <c r="S20" s="69">
        <f t="shared" si="11"/>
        <v>4.704000000000001</v>
      </c>
    </row>
    <row r="21" spans="1:23" ht="12.75">
      <c r="A21" s="73" t="s">
        <v>48</v>
      </c>
      <c r="B21" s="1">
        <v>1983</v>
      </c>
      <c r="C21" s="29">
        <v>3.19</v>
      </c>
      <c r="D21" s="29">
        <v>4.43</v>
      </c>
      <c r="E21" s="29">
        <v>4.13</v>
      </c>
      <c r="F21" s="1">
        <f>MAX(C21:E21)</f>
        <v>4.43</v>
      </c>
      <c r="G21" s="1">
        <f>C21/D21</f>
        <v>0.7200902934537247</v>
      </c>
      <c r="H21" s="1">
        <f>C21/E21</f>
        <v>0.7723970944309927</v>
      </c>
      <c r="I21" s="27">
        <f>MAX(C21:F21)*1000/1.12/56</f>
        <v>70.6313775510204</v>
      </c>
      <c r="J21" s="25">
        <f>(C21*1000/1.12*0.01)</f>
        <v>28.482142857142854</v>
      </c>
      <c r="K21" s="32">
        <f>D21*1000/1.12*0.0125</f>
        <v>49.441964285714285</v>
      </c>
      <c r="L21" s="39">
        <f>K21-J21</f>
        <v>20.95982142857143</v>
      </c>
      <c r="M21" s="41">
        <f>((D21*1000*0.0125)-(C21*1000*0.01))/90</f>
        <v>0.2608333333333333</v>
      </c>
      <c r="N21" s="49">
        <f>C21*1000/1.12/56</f>
        <v>50.8609693877551</v>
      </c>
      <c r="O21" s="63">
        <f>D21/(MAX(D21:E21))</f>
        <v>1</v>
      </c>
      <c r="P21" s="55">
        <f>(E21*1000/1.12*0.0125)/180</f>
        <v>0.2560763888888889</v>
      </c>
      <c r="Q21" s="69">
        <v>90</v>
      </c>
      <c r="R21" s="69">
        <f>E21/C21</f>
        <v>1.2946708463949843</v>
      </c>
      <c r="U21" s="2">
        <v>0</v>
      </c>
      <c r="V21" s="2">
        <v>90</v>
      </c>
      <c r="W21" s="79">
        <v>180</v>
      </c>
    </row>
    <row r="22" spans="1:19" ht="12.75">
      <c r="A22" s="73" t="s">
        <v>48</v>
      </c>
      <c r="B22" s="1">
        <v>1984</v>
      </c>
      <c r="C22" s="29">
        <v>3.38</v>
      </c>
      <c r="D22" s="29">
        <v>4.72</v>
      </c>
      <c r="E22" s="29">
        <v>5.05</v>
      </c>
      <c r="F22" s="1">
        <f aca="true" t="shared" si="12" ref="F22:F41">MAX(C22:E22)</f>
        <v>5.05</v>
      </c>
      <c r="G22" s="1">
        <f aca="true" t="shared" si="13" ref="G22:G41">C22/D22</f>
        <v>0.7161016949152542</v>
      </c>
      <c r="H22" s="1">
        <f t="shared" si="1"/>
        <v>0.6693069306930693</v>
      </c>
      <c r="I22" s="27">
        <f aca="true" t="shared" si="14" ref="I22:I41">MAX(C22:F22)*1000/1.12/56</f>
        <v>80.51658163265304</v>
      </c>
      <c r="J22" s="25">
        <f aca="true" t="shared" si="15" ref="J22:J41">(C22*1000/1.12*0.01)</f>
        <v>30.178571428571427</v>
      </c>
      <c r="K22" s="32">
        <f aca="true" t="shared" si="16" ref="K22:K41">D22*1000/1.12*0.0125</f>
        <v>52.67857142857142</v>
      </c>
      <c r="L22" s="39">
        <f aca="true" t="shared" si="17" ref="L22:L41">K22-J22</f>
        <v>22.499999999999996</v>
      </c>
      <c r="M22" s="41">
        <f aca="true" t="shared" si="18" ref="M22:M41">((D22*1000*0.0125)-(C22*1000*0.01))/90</f>
        <v>0.28</v>
      </c>
      <c r="N22" s="49">
        <f aca="true" t="shared" si="19" ref="N22:N41">C22*1000/1.12/56</f>
        <v>53.890306122448976</v>
      </c>
      <c r="O22" s="63">
        <f aca="true" t="shared" si="20" ref="O22:O41">D22/(MAX(D22:E22))</f>
        <v>0.9346534653465346</v>
      </c>
      <c r="P22" s="55">
        <f aca="true" t="shared" si="21" ref="P22:P41">(E22*1000/1.12*0.0125)/180</f>
        <v>0.31312003968253965</v>
      </c>
      <c r="Q22" s="69">
        <v>90</v>
      </c>
      <c r="R22" s="69">
        <f aca="true" t="shared" si="22" ref="R22:R41">E22/C22</f>
        <v>1.4940828402366864</v>
      </c>
      <c r="S22" s="69">
        <f>R21*(C21)*H21</f>
        <v>3.19</v>
      </c>
    </row>
    <row r="23" spans="1:19" ht="12.75">
      <c r="A23" s="73" t="s">
        <v>48</v>
      </c>
      <c r="B23" s="1">
        <v>1985</v>
      </c>
      <c r="C23" s="29">
        <v>6.25</v>
      </c>
      <c r="D23" s="29">
        <v>9.19</v>
      </c>
      <c r="E23" s="29">
        <v>10.27</v>
      </c>
      <c r="F23" s="1">
        <f t="shared" si="12"/>
        <v>10.27</v>
      </c>
      <c r="G23" s="1">
        <f t="shared" si="13"/>
        <v>0.6800870511425463</v>
      </c>
      <c r="H23" s="1">
        <f t="shared" si="1"/>
        <v>0.6085686465433301</v>
      </c>
      <c r="I23" s="27">
        <f t="shared" si="14"/>
        <v>163.74362244897958</v>
      </c>
      <c r="J23" s="25">
        <f t="shared" si="15"/>
        <v>55.80357142857142</v>
      </c>
      <c r="K23" s="32">
        <f t="shared" si="16"/>
        <v>102.56696428571428</v>
      </c>
      <c r="L23" s="39">
        <f t="shared" si="17"/>
        <v>46.763392857142854</v>
      </c>
      <c r="M23" s="41">
        <f t="shared" si="18"/>
        <v>0.5819444444444445</v>
      </c>
      <c r="N23" s="49">
        <f t="shared" si="19"/>
        <v>99.64923469387755</v>
      </c>
      <c r="O23" s="63">
        <f t="shared" si="20"/>
        <v>0.8948393378773125</v>
      </c>
      <c r="P23" s="55">
        <f t="shared" si="21"/>
        <v>0.6367807539682541</v>
      </c>
      <c r="Q23" s="69">
        <v>90</v>
      </c>
      <c r="R23" s="69">
        <f t="shared" si="22"/>
        <v>1.6432</v>
      </c>
      <c r="S23" s="69">
        <f aca="true" t="shared" si="23" ref="S23:S41">R22*(C22)*H22</f>
        <v>3.38</v>
      </c>
    </row>
    <row r="24" spans="1:19" ht="12.75">
      <c r="A24" s="73" t="s">
        <v>48</v>
      </c>
      <c r="B24" s="1">
        <v>1986</v>
      </c>
      <c r="C24" s="29">
        <v>4.87</v>
      </c>
      <c r="D24" s="29">
        <v>9</v>
      </c>
      <c r="E24" s="29">
        <v>11.98</v>
      </c>
      <c r="F24" s="1">
        <f t="shared" si="12"/>
        <v>11.98</v>
      </c>
      <c r="G24" s="1">
        <f t="shared" si="13"/>
        <v>0.5411111111111111</v>
      </c>
      <c r="H24" s="1">
        <f t="shared" si="1"/>
        <v>0.4065108514190317</v>
      </c>
      <c r="I24" s="27">
        <f t="shared" si="14"/>
        <v>191.0076530612245</v>
      </c>
      <c r="J24" s="25">
        <f t="shared" si="15"/>
        <v>43.482142857142854</v>
      </c>
      <c r="K24" s="32">
        <f t="shared" si="16"/>
        <v>100.44642857142857</v>
      </c>
      <c r="L24" s="39">
        <f t="shared" si="17"/>
        <v>56.964285714285715</v>
      </c>
      <c r="M24" s="41">
        <f t="shared" si="18"/>
        <v>0.7088888888888889</v>
      </c>
      <c r="N24" s="49">
        <f t="shared" si="19"/>
        <v>77.64668367346938</v>
      </c>
      <c r="O24" s="63">
        <f t="shared" si="20"/>
        <v>0.7512520868113522</v>
      </c>
      <c r="P24" s="55">
        <f t="shared" si="21"/>
        <v>0.7428075396825397</v>
      </c>
      <c r="Q24" s="69">
        <v>90</v>
      </c>
      <c r="R24" s="69">
        <f t="shared" si="22"/>
        <v>2.459958932238193</v>
      </c>
      <c r="S24" s="69">
        <f t="shared" si="23"/>
        <v>6.25</v>
      </c>
    </row>
    <row r="25" spans="1:19" ht="12.75">
      <c r="A25" s="73" t="s">
        <v>48</v>
      </c>
      <c r="B25" s="1">
        <v>1987</v>
      </c>
      <c r="C25" s="29">
        <v>4.35</v>
      </c>
      <c r="D25" s="29">
        <v>7.77</v>
      </c>
      <c r="E25" s="29">
        <v>7.73</v>
      </c>
      <c r="F25" s="1">
        <f t="shared" si="12"/>
        <v>7.77</v>
      </c>
      <c r="G25" s="1">
        <f t="shared" si="13"/>
        <v>0.5598455598455598</v>
      </c>
      <c r="H25" s="1">
        <f t="shared" si="1"/>
        <v>0.5627425614489003</v>
      </c>
      <c r="I25" s="27">
        <f t="shared" si="14"/>
        <v>123.88392857142856</v>
      </c>
      <c r="J25" s="25">
        <f t="shared" si="15"/>
        <v>38.839285714285715</v>
      </c>
      <c r="K25" s="32">
        <f t="shared" si="16"/>
        <v>86.71875</v>
      </c>
      <c r="L25" s="39">
        <f t="shared" si="17"/>
        <v>47.879464285714285</v>
      </c>
      <c r="M25" s="41">
        <f t="shared" si="18"/>
        <v>0.5958333333333333</v>
      </c>
      <c r="N25" s="49">
        <f t="shared" si="19"/>
        <v>69.35586734693877</v>
      </c>
      <c r="O25" s="63">
        <f t="shared" si="20"/>
        <v>1</v>
      </c>
      <c r="P25" s="55">
        <f t="shared" si="21"/>
        <v>0.4792906746031746</v>
      </c>
      <c r="Q25" s="69">
        <v>90</v>
      </c>
      <c r="R25" s="69">
        <f t="shared" si="22"/>
        <v>1.7770114942528739</v>
      </c>
      <c r="S25" s="69">
        <f t="shared" si="23"/>
        <v>4.87</v>
      </c>
    </row>
    <row r="26" spans="1:19" ht="12.75">
      <c r="A26" s="73" t="s">
        <v>48</v>
      </c>
      <c r="B26" s="1">
        <v>1988</v>
      </c>
      <c r="C26" s="29">
        <v>3.83</v>
      </c>
      <c r="D26" s="29">
        <v>5.64</v>
      </c>
      <c r="E26" s="29">
        <v>6.99</v>
      </c>
      <c r="F26" s="1">
        <f t="shared" si="12"/>
        <v>6.99</v>
      </c>
      <c r="G26" s="1">
        <f t="shared" si="13"/>
        <v>0.6790780141843972</v>
      </c>
      <c r="H26" s="1">
        <f t="shared" si="1"/>
        <v>0.547925608011445</v>
      </c>
      <c r="I26" s="27">
        <f t="shared" si="14"/>
        <v>111.44770408163264</v>
      </c>
      <c r="J26" s="25">
        <f t="shared" si="15"/>
        <v>34.19642857142857</v>
      </c>
      <c r="K26" s="32">
        <f t="shared" si="16"/>
        <v>62.94642857142857</v>
      </c>
      <c r="L26" s="39">
        <f t="shared" si="17"/>
        <v>28.75</v>
      </c>
      <c r="M26" s="41">
        <f t="shared" si="18"/>
        <v>0.35777777777777775</v>
      </c>
      <c r="N26" s="49">
        <f t="shared" si="19"/>
        <v>61.065051020408156</v>
      </c>
      <c r="O26" s="63">
        <f t="shared" si="20"/>
        <v>0.8068669527896996</v>
      </c>
      <c r="P26" s="55">
        <f t="shared" si="21"/>
        <v>0.433407738095238</v>
      </c>
      <c r="Q26" s="69">
        <v>90</v>
      </c>
      <c r="R26" s="69">
        <f t="shared" si="22"/>
        <v>1.8250652741514362</v>
      </c>
      <c r="S26" s="69">
        <f t="shared" si="23"/>
        <v>4.35</v>
      </c>
    </row>
    <row r="27" spans="1:19" ht="12.75">
      <c r="A27" s="73" t="s">
        <v>48</v>
      </c>
      <c r="B27" s="1">
        <v>1989</v>
      </c>
      <c r="C27" s="29">
        <v>3.62</v>
      </c>
      <c r="D27" s="29">
        <v>7.83</v>
      </c>
      <c r="E27" s="29">
        <v>7.88</v>
      </c>
      <c r="F27" s="1">
        <f t="shared" si="12"/>
        <v>7.88</v>
      </c>
      <c r="G27" s="1">
        <f t="shared" si="13"/>
        <v>0.46232439335887615</v>
      </c>
      <c r="H27" s="1">
        <f t="shared" si="1"/>
        <v>0.4593908629441625</v>
      </c>
      <c r="I27" s="27">
        <f t="shared" si="14"/>
        <v>125.63775510204081</v>
      </c>
      <c r="J27" s="25">
        <f t="shared" si="15"/>
        <v>32.32142857142857</v>
      </c>
      <c r="K27" s="32">
        <f t="shared" si="16"/>
        <v>87.38839285714285</v>
      </c>
      <c r="L27" s="39">
        <f t="shared" si="17"/>
        <v>55.06696428571428</v>
      </c>
      <c r="M27" s="41">
        <f t="shared" si="18"/>
        <v>0.6852777777777778</v>
      </c>
      <c r="N27" s="49">
        <f t="shared" si="19"/>
        <v>57.71683673469387</v>
      </c>
      <c r="O27" s="63">
        <f t="shared" si="20"/>
        <v>0.9936548223350254</v>
      </c>
      <c r="P27" s="55">
        <f t="shared" si="21"/>
        <v>0.4885912698412698</v>
      </c>
      <c r="Q27" s="69">
        <v>90</v>
      </c>
      <c r="R27" s="69">
        <f t="shared" si="22"/>
        <v>2.1767955801104972</v>
      </c>
      <c r="S27" s="69">
        <f t="shared" si="23"/>
        <v>3.8300000000000005</v>
      </c>
    </row>
    <row r="28" spans="1:19" ht="12.75">
      <c r="A28" s="73" t="s">
        <v>48</v>
      </c>
      <c r="B28" s="1">
        <v>1990</v>
      </c>
      <c r="C28" s="29">
        <v>4.45</v>
      </c>
      <c r="D28" s="29">
        <v>6.98</v>
      </c>
      <c r="E28" s="29">
        <v>7.23</v>
      </c>
      <c r="F28" s="1">
        <f t="shared" si="12"/>
        <v>7.23</v>
      </c>
      <c r="G28" s="1">
        <f t="shared" si="13"/>
        <v>0.6375358166189111</v>
      </c>
      <c r="H28" s="1">
        <f t="shared" si="1"/>
        <v>0.6154910096818811</v>
      </c>
      <c r="I28" s="27">
        <f t="shared" si="14"/>
        <v>115.27423469387755</v>
      </c>
      <c r="J28" s="25">
        <f t="shared" si="15"/>
        <v>39.732142857142854</v>
      </c>
      <c r="K28" s="32">
        <f t="shared" si="16"/>
        <v>77.90178571428572</v>
      </c>
      <c r="L28" s="39">
        <f t="shared" si="17"/>
        <v>38.16964285714287</v>
      </c>
      <c r="M28" s="41">
        <f t="shared" si="18"/>
        <v>0.475</v>
      </c>
      <c r="N28" s="49">
        <f t="shared" si="19"/>
        <v>70.95025510204081</v>
      </c>
      <c r="O28" s="63">
        <f t="shared" si="20"/>
        <v>0.9654218533886584</v>
      </c>
      <c r="P28" s="55">
        <f t="shared" si="21"/>
        <v>0.4482886904761904</v>
      </c>
      <c r="Q28" s="69">
        <v>90</v>
      </c>
      <c r="R28" s="69">
        <f t="shared" si="22"/>
        <v>1.6247191011235955</v>
      </c>
      <c r="S28" s="69">
        <f t="shared" si="23"/>
        <v>3.62</v>
      </c>
    </row>
    <row r="29" spans="1:19" ht="12.75">
      <c r="A29" s="73" t="s">
        <v>48</v>
      </c>
      <c r="B29" s="1">
        <v>1991</v>
      </c>
      <c r="C29" s="29">
        <v>4.17</v>
      </c>
      <c r="D29" s="29">
        <v>7.77</v>
      </c>
      <c r="E29" s="29">
        <v>7.47</v>
      </c>
      <c r="F29" s="1">
        <f t="shared" si="12"/>
        <v>7.77</v>
      </c>
      <c r="G29" s="1">
        <f t="shared" si="13"/>
        <v>0.5366795366795367</v>
      </c>
      <c r="H29" s="1">
        <f t="shared" si="1"/>
        <v>0.5582329317269077</v>
      </c>
      <c r="I29" s="27">
        <f t="shared" si="14"/>
        <v>123.88392857142856</v>
      </c>
      <c r="J29" s="25">
        <f t="shared" si="15"/>
        <v>37.232142857142854</v>
      </c>
      <c r="K29" s="32">
        <f t="shared" si="16"/>
        <v>86.71875</v>
      </c>
      <c r="L29" s="39">
        <f t="shared" si="17"/>
        <v>49.486607142857146</v>
      </c>
      <c r="M29" s="41">
        <f t="shared" si="18"/>
        <v>0.6158333333333333</v>
      </c>
      <c r="N29" s="49">
        <f t="shared" si="19"/>
        <v>66.48596938775509</v>
      </c>
      <c r="O29" s="63">
        <f t="shared" si="20"/>
        <v>1</v>
      </c>
      <c r="P29" s="55">
        <f t="shared" si="21"/>
        <v>0.4631696428571429</v>
      </c>
      <c r="Q29" s="69">
        <v>90</v>
      </c>
      <c r="R29" s="69">
        <f t="shared" si="22"/>
        <v>1.79136690647482</v>
      </c>
      <c r="S29" s="69">
        <f t="shared" si="23"/>
        <v>4.45</v>
      </c>
    </row>
    <row r="30" spans="1:19" ht="12.75">
      <c r="A30" s="73" t="s">
        <v>48</v>
      </c>
      <c r="B30" s="1">
        <v>1992</v>
      </c>
      <c r="C30" s="29">
        <v>5.12</v>
      </c>
      <c r="D30" s="29">
        <v>9.93</v>
      </c>
      <c r="E30" s="29">
        <v>11.11</v>
      </c>
      <c r="F30" s="1">
        <f t="shared" si="12"/>
        <v>11.11</v>
      </c>
      <c r="G30" s="1">
        <f t="shared" si="13"/>
        <v>0.5156092648539778</v>
      </c>
      <c r="H30" s="1">
        <f t="shared" si="1"/>
        <v>0.4608460846084609</v>
      </c>
      <c r="I30" s="27">
        <f t="shared" si="14"/>
        <v>177.13647959183672</v>
      </c>
      <c r="J30" s="25">
        <f t="shared" si="15"/>
        <v>45.71428571428571</v>
      </c>
      <c r="K30" s="32">
        <f t="shared" si="16"/>
        <v>110.82589285714285</v>
      </c>
      <c r="L30" s="39">
        <f t="shared" si="17"/>
        <v>65.11160714285714</v>
      </c>
      <c r="M30" s="41">
        <f t="shared" si="18"/>
        <v>0.8102777777777778</v>
      </c>
      <c r="N30" s="49">
        <f t="shared" si="19"/>
        <v>81.63265306122447</v>
      </c>
      <c r="O30" s="63">
        <f t="shared" si="20"/>
        <v>0.8937893789378938</v>
      </c>
      <c r="P30" s="55">
        <f t="shared" si="21"/>
        <v>0.6888640873015873</v>
      </c>
      <c r="Q30" s="69">
        <v>90</v>
      </c>
      <c r="R30" s="69">
        <f t="shared" si="22"/>
        <v>2.169921875</v>
      </c>
      <c r="S30" s="69">
        <f t="shared" si="23"/>
        <v>4.17</v>
      </c>
    </row>
    <row r="31" spans="1:19" ht="12.75">
      <c r="A31" s="73" t="s">
        <v>48</v>
      </c>
      <c r="B31" s="1">
        <v>1993</v>
      </c>
      <c r="C31" s="29">
        <v>3.74</v>
      </c>
      <c r="D31" s="29">
        <v>7.55</v>
      </c>
      <c r="E31" s="29">
        <v>8.93</v>
      </c>
      <c r="F31" s="1">
        <f t="shared" si="12"/>
        <v>8.93</v>
      </c>
      <c r="G31" s="1">
        <f t="shared" si="13"/>
        <v>0.49536423841059607</v>
      </c>
      <c r="H31" s="1">
        <f t="shared" si="1"/>
        <v>0.4188129899216126</v>
      </c>
      <c r="I31" s="27">
        <f t="shared" si="14"/>
        <v>142.37882653061223</v>
      </c>
      <c r="J31" s="25">
        <f t="shared" si="15"/>
        <v>33.39285714285714</v>
      </c>
      <c r="K31" s="32">
        <f t="shared" si="16"/>
        <v>84.26339285714285</v>
      </c>
      <c r="L31" s="39">
        <f t="shared" si="17"/>
        <v>50.87053571428571</v>
      </c>
      <c r="M31" s="41">
        <f t="shared" si="18"/>
        <v>0.6330555555555556</v>
      </c>
      <c r="N31" s="49">
        <f t="shared" si="19"/>
        <v>59.63010204081632</v>
      </c>
      <c r="O31" s="63">
        <f t="shared" si="20"/>
        <v>0.845464725643897</v>
      </c>
      <c r="P31" s="55">
        <f t="shared" si="21"/>
        <v>0.5536954365079365</v>
      </c>
      <c r="Q31" s="69">
        <v>90</v>
      </c>
      <c r="R31" s="69">
        <f t="shared" si="22"/>
        <v>2.3877005347593583</v>
      </c>
      <c r="S31" s="69">
        <f t="shared" si="23"/>
        <v>5.12</v>
      </c>
    </row>
    <row r="32" spans="1:19" ht="12.75">
      <c r="A32" s="73" t="s">
        <v>48</v>
      </c>
      <c r="B32" s="1">
        <v>1994</v>
      </c>
      <c r="C32" s="29">
        <v>4.15</v>
      </c>
      <c r="D32" s="29">
        <v>8.13</v>
      </c>
      <c r="E32" s="29">
        <v>10.57</v>
      </c>
      <c r="F32" s="1">
        <f t="shared" si="12"/>
        <v>10.57</v>
      </c>
      <c r="G32" s="1">
        <f t="shared" si="13"/>
        <v>0.5104551045510455</v>
      </c>
      <c r="H32" s="1">
        <f t="shared" si="1"/>
        <v>0.3926206244087039</v>
      </c>
      <c r="I32" s="27">
        <f t="shared" si="14"/>
        <v>168.52678571428572</v>
      </c>
      <c r="J32" s="25">
        <f t="shared" si="15"/>
        <v>37.05357142857143</v>
      </c>
      <c r="K32" s="32">
        <f t="shared" si="16"/>
        <v>90.73660714285715</v>
      </c>
      <c r="L32" s="39">
        <f t="shared" si="17"/>
        <v>53.68303571428572</v>
      </c>
      <c r="M32" s="41">
        <f t="shared" si="18"/>
        <v>0.6680555555555557</v>
      </c>
      <c r="N32" s="49">
        <f t="shared" si="19"/>
        <v>66.16709183673468</v>
      </c>
      <c r="O32" s="63">
        <f t="shared" si="20"/>
        <v>0.7691579943235572</v>
      </c>
      <c r="P32" s="55">
        <f t="shared" si="21"/>
        <v>0.6553819444444444</v>
      </c>
      <c r="Q32" s="69">
        <v>90</v>
      </c>
      <c r="R32" s="69">
        <f t="shared" si="22"/>
        <v>2.5469879518072287</v>
      </c>
      <c r="S32" s="69">
        <f t="shared" si="23"/>
        <v>3.74</v>
      </c>
    </row>
    <row r="33" spans="1:19" ht="12.75">
      <c r="A33" s="73" t="s">
        <v>48</v>
      </c>
      <c r="B33" s="1">
        <v>1996</v>
      </c>
      <c r="C33" s="29">
        <v>5.6</v>
      </c>
      <c r="D33" s="29">
        <v>8.76</v>
      </c>
      <c r="E33" s="29">
        <v>9.25</v>
      </c>
      <c r="F33" s="1">
        <f t="shared" si="12"/>
        <v>9.25</v>
      </c>
      <c r="G33" s="1">
        <f t="shared" si="13"/>
        <v>0.639269406392694</v>
      </c>
      <c r="H33" s="1">
        <f t="shared" si="1"/>
        <v>0.6054054054054053</v>
      </c>
      <c r="I33" s="27">
        <f t="shared" si="14"/>
        <v>147.48086734693877</v>
      </c>
      <c r="J33" s="25">
        <f t="shared" si="15"/>
        <v>49.99999999999999</v>
      </c>
      <c r="K33" s="32">
        <f t="shared" si="16"/>
        <v>97.76785714285714</v>
      </c>
      <c r="L33" s="39">
        <f t="shared" si="17"/>
        <v>47.767857142857146</v>
      </c>
      <c r="M33" s="41">
        <f t="shared" si="18"/>
        <v>0.5944444444444444</v>
      </c>
      <c r="N33" s="49">
        <f t="shared" si="19"/>
        <v>89.28571428571426</v>
      </c>
      <c r="O33" s="63">
        <f t="shared" si="20"/>
        <v>0.947027027027027</v>
      </c>
      <c r="P33" s="55">
        <f t="shared" si="21"/>
        <v>0.5735367063492063</v>
      </c>
      <c r="Q33" s="69">
        <v>90</v>
      </c>
      <c r="R33" s="69">
        <f t="shared" si="22"/>
        <v>1.6517857142857144</v>
      </c>
      <c r="S33" s="69">
        <f t="shared" si="23"/>
        <v>4.15</v>
      </c>
    </row>
    <row r="34" spans="1:19" ht="12.75">
      <c r="A34" s="73" t="s">
        <v>48</v>
      </c>
      <c r="B34" s="1">
        <v>1997</v>
      </c>
      <c r="C34" s="29">
        <v>2.36</v>
      </c>
      <c r="D34" s="29">
        <v>8.71</v>
      </c>
      <c r="E34" s="29">
        <v>8.68</v>
      </c>
      <c r="F34" s="1">
        <f t="shared" si="12"/>
        <v>8.71</v>
      </c>
      <c r="G34" s="1">
        <f t="shared" si="13"/>
        <v>0.27095292766934553</v>
      </c>
      <c r="H34" s="1">
        <f t="shared" si="1"/>
        <v>0.271889400921659</v>
      </c>
      <c r="I34" s="27">
        <f t="shared" si="14"/>
        <v>138.87117346938774</v>
      </c>
      <c r="J34" s="25">
        <f t="shared" si="15"/>
        <v>21.07142857142857</v>
      </c>
      <c r="K34" s="32">
        <f t="shared" si="16"/>
        <v>97.20982142857143</v>
      </c>
      <c r="L34" s="39">
        <f t="shared" si="17"/>
        <v>76.13839285714286</v>
      </c>
      <c r="M34" s="41">
        <f t="shared" si="18"/>
        <v>0.9475</v>
      </c>
      <c r="N34" s="49">
        <f t="shared" si="19"/>
        <v>37.627551020408156</v>
      </c>
      <c r="O34" s="63">
        <f t="shared" si="20"/>
        <v>1</v>
      </c>
      <c r="P34" s="55">
        <f t="shared" si="21"/>
        <v>0.5381944444444444</v>
      </c>
      <c r="Q34" s="69">
        <v>90</v>
      </c>
      <c r="R34" s="69">
        <f t="shared" si="22"/>
        <v>3.6779661016949152</v>
      </c>
      <c r="S34" s="69">
        <f t="shared" si="23"/>
        <v>5.6</v>
      </c>
    </row>
    <row r="35" spans="1:19" ht="12.75">
      <c r="A35" s="73" t="s">
        <v>48</v>
      </c>
      <c r="B35" s="1">
        <v>1998</v>
      </c>
      <c r="C35" s="29">
        <v>2.63</v>
      </c>
      <c r="D35" s="29">
        <v>8.07</v>
      </c>
      <c r="E35" s="29">
        <v>9.5</v>
      </c>
      <c r="F35" s="1">
        <f t="shared" si="12"/>
        <v>9.5</v>
      </c>
      <c r="G35" s="1">
        <f t="shared" si="13"/>
        <v>0.3258983890954151</v>
      </c>
      <c r="H35" s="1">
        <f t="shared" si="1"/>
        <v>0.2768421052631579</v>
      </c>
      <c r="I35" s="27">
        <f t="shared" si="14"/>
        <v>151.46683673469389</v>
      </c>
      <c r="J35" s="25">
        <f t="shared" si="15"/>
        <v>23.482142857142854</v>
      </c>
      <c r="K35" s="32">
        <f t="shared" si="16"/>
        <v>90.06696428571428</v>
      </c>
      <c r="L35" s="39">
        <f t="shared" si="17"/>
        <v>66.58482142857142</v>
      </c>
      <c r="M35" s="41">
        <f t="shared" si="18"/>
        <v>0.8286111111111112</v>
      </c>
      <c r="N35" s="49">
        <f t="shared" si="19"/>
        <v>41.93239795918367</v>
      </c>
      <c r="O35" s="63">
        <f t="shared" si="20"/>
        <v>0.8494736842105264</v>
      </c>
      <c r="P35" s="55">
        <f t="shared" si="21"/>
        <v>0.5890376984126985</v>
      </c>
      <c r="Q35" s="69">
        <v>90</v>
      </c>
      <c r="R35" s="69">
        <f t="shared" si="22"/>
        <v>3.612167300380228</v>
      </c>
      <c r="S35" s="69">
        <f t="shared" si="23"/>
        <v>2.36</v>
      </c>
    </row>
    <row r="36" spans="1:19" ht="12.75">
      <c r="A36" s="73" t="s">
        <v>48</v>
      </c>
      <c r="B36" s="1">
        <v>1999</v>
      </c>
      <c r="C36" s="29">
        <v>3.87</v>
      </c>
      <c r="D36" s="29">
        <v>9.33</v>
      </c>
      <c r="E36" s="29">
        <v>10.08</v>
      </c>
      <c r="F36" s="1">
        <f t="shared" si="12"/>
        <v>10.08</v>
      </c>
      <c r="G36" s="1">
        <f t="shared" si="13"/>
        <v>0.41479099678456594</v>
      </c>
      <c r="H36" s="1">
        <f t="shared" si="1"/>
        <v>0.38392857142857145</v>
      </c>
      <c r="I36" s="27">
        <f t="shared" si="14"/>
        <v>160.71428571428572</v>
      </c>
      <c r="J36" s="25">
        <f t="shared" si="15"/>
        <v>34.55357142857143</v>
      </c>
      <c r="K36" s="32">
        <f t="shared" si="16"/>
        <v>104.12946428571428</v>
      </c>
      <c r="L36" s="39">
        <f t="shared" si="17"/>
        <v>69.57589285714285</v>
      </c>
      <c r="M36" s="41">
        <f t="shared" si="18"/>
        <v>0.8658333333333333</v>
      </c>
      <c r="N36" s="49">
        <f t="shared" si="19"/>
        <v>61.702806122448976</v>
      </c>
      <c r="O36" s="63">
        <f t="shared" si="20"/>
        <v>0.9255952380952381</v>
      </c>
      <c r="P36" s="55">
        <f t="shared" si="21"/>
        <v>0.625</v>
      </c>
      <c r="Q36" s="69">
        <v>90</v>
      </c>
      <c r="R36" s="69">
        <f t="shared" si="22"/>
        <v>2.6046511627906974</v>
      </c>
      <c r="S36" s="69">
        <f t="shared" si="23"/>
        <v>2.63</v>
      </c>
    </row>
    <row r="37" spans="1:19" ht="12.75">
      <c r="A37" s="73" t="s">
        <v>48</v>
      </c>
      <c r="B37" s="1">
        <v>2000</v>
      </c>
      <c r="C37" s="29">
        <v>3.44</v>
      </c>
      <c r="D37" s="29">
        <v>6.92</v>
      </c>
      <c r="E37" s="29">
        <v>7.2</v>
      </c>
      <c r="F37" s="1">
        <f t="shared" si="12"/>
        <v>7.2</v>
      </c>
      <c r="G37" s="1">
        <f t="shared" si="13"/>
        <v>0.49710982658959535</v>
      </c>
      <c r="H37" s="1">
        <f t="shared" si="1"/>
        <v>0.47777777777777775</v>
      </c>
      <c r="I37" s="27">
        <f t="shared" si="14"/>
        <v>114.79591836734691</v>
      </c>
      <c r="J37" s="25">
        <f t="shared" si="15"/>
        <v>30.71428571428571</v>
      </c>
      <c r="K37" s="32">
        <f t="shared" si="16"/>
        <v>77.23214285714285</v>
      </c>
      <c r="L37" s="39">
        <f t="shared" si="17"/>
        <v>46.51785714285714</v>
      </c>
      <c r="M37" s="41">
        <f t="shared" si="18"/>
        <v>0.5788888888888889</v>
      </c>
      <c r="N37" s="49">
        <f t="shared" si="19"/>
        <v>54.846938775510196</v>
      </c>
      <c r="O37" s="63">
        <f t="shared" si="20"/>
        <v>0.961111111111111</v>
      </c>
      <c r="P37" s="55">
        <f t="shared" si="21"/>
        <v>0.4464285714285714</v>
      </c>
      <c r="Q37" s="69">
        <v>90</v>
      </c>
      <c r="R37" s="69">
        <f t="shared" si="22"/>
        <v>2.0930232558139537</v>
      </c>
      <c r="S37" s="69">
        <f t="shared" si="23"/>
        <v>3.87</v>
      </c>
    </row>
    <row r="38" spans="1:19" ht="12.75">
      <c r="A38" s="73" t="s">
        <v>48</v>
      </c>
      <c r="B38" s="1">
        <v>2001</v>
      </c>
      <c r="C38" s="29">
        <v>4.06</v>
      </c>
      <c r="D38" s="29">
        <v>7</v>
      </c>
      <c r="E38" s="29">
        <v>7.57</v>
      </c>
      <c r="F38" s="1">
        <f t="shared" si="12"/>
        <v>7.57</v>
      </c>
      <c r="G38" s="1">
        <f t="shared" si="13"/>
        <v>0.58</v>
      </c>
      <c r="H38" s="1">
        <f t="shared" si="1"/>
        <v>0.5363276089828268</v>
      </c>
      <c r="I38" s="27">
        <f t="shared" si="14"/>
        <v>120.69515306122447</v>
      </c>
      <c r="J38" s="25">
        <f t="shared" si="15"/>
        <v>36.24999999999999</v>
      </c>
      <c r="K38" s="32">
        <f t="shared" si="16"/>
        <v>78.125</v>
      </c>
      <c r="L38" s="39">
        <f t="shared" si="17"/>
        <v>41.87500000000001</v>
      </c>
      <c r="M38" s="41">
        <f t="shared" si="18"/>
        <v>0.5211111111111112</v>
      </c>
      <c r="N38" s="49">
        <f t="shared" si="19"/>
        <v>64.73214285714285</v>
      </c>
      <c r="O38" s="63">
        <f t="shared" si="20"/>
        <v>0.9247027741083222</v>
      </c>
      <c r="P38" s="55">
        <f t="shared" si="21"/>
        <v>0.46937003968253965</v>
      </c>
      <c r="Q38" s="69">
        <v>90</v>
      </c>
      <c r="R38" s="69">
        <f t="shared" si="22"/>
        <v>1.8645320197044337</v>
      </c>
      <c r="S38" s="69">
        <f t="shared" si="23"/>
        <v>3.44</v>
      </c>
    </row>
    <row r="39" spans="1:19" ht="12.75">
      <c r="A39" s="73" t="s">
        <v>48</v>
      </c>
      <c r="B39" s="1">
        <v>2002</v>
      </c>
      <c r="C39" s="29">
        <v>2.82</v>
      </c>
      <c r="D39" s="29">
        <v>6.96</v>
      </c>
      <c r="E39" s="29">
        <v>6.46</v>
      </c>
      <c r="F39" s="1">
        <f t="shared" si="12"/>
        <v>6.96</v>
      </c>
      <c r="G39" s="1">
        <f t="shared" si="13"/>
        <v>0.4051724137931034</v>
      </c>
      <c r="H39" s="1">
        <f t="shared" si="1"/>
        <v>0.43653250773993807</v>
      </c>
      <c r="I39" s="27">
        <f t="shared" si="14"/>
        <v>110.96938775510203</v>
      </c>
      <c r="J39" s="25">
        <f t="shared" si="15"/>
        <v>25.178571428571427</v>
      </c>
      <c r="K39" s="32">
        <f t="shared" si="16"/>
        <v>77.67857142857143</v>
      </c>
      <c r="L39" s="39">
        <f t="shared" si="17"/>
        <v>52.5</v>
      </c>
      <c r="M39" s="41">
        <f t="shared" si="18"/>
        <v>0.6533333333333333</v>
      </c>
      <c r="N39" s="49">
        <f t="shared" si="19"/>
        <v>44.961734693877546</v>
      </c>
      <c r="O39" s="63">
        <f t="shared" si="20"/>
        <v>1</v>
      </c>
      <c r="P39" s="55">
        <f t="shared" si="21"/>
        <v>0.4005456349206349</v>
      </c>
      <c r="Q39" s="69">
        <v>90</v>
      </c>
      <c r="R39" s="69">
        <f t="shared" si="22"/>
        <v>2.290780141843972</v>
      </c>
      <c r="S39" s="69">
        <f t="shared" si="23"/>
        <v>4.06</v>
      </c>
    </row>
    <row r="40" spans="1:19" ht="12.75">
      <c r="A40" s="73" t="s">
        <v>48</v>
      </c>
      <c r="B40" s="1">
        <v>2003</v>
      </c>
      <c r="C40" s="65">
        <v>5.376654816568047</v>
      </c>
      <c r="D40" s="65">
        <v>9.734453562130177</v>
      </c>
      <c r="E40" s="65">
        <v>10.05076730177515</v>
      </c>
      <c r="F40" s="1">
        <f t="shared" si="12"/>
        <v>10.05076730177515</v>
      </c>
      <c r="G40" s="1">
        <f t="shared" si="13"/>
        <v>0.5523324737491974</v>
      </c>
      <c r="H40" s="1">
        <f t="shared" si="1"/>
        <v>0.5349496864402016</v>
      </c>
      <c r="I40" s="27">
        <f t="shared" si="14"/>
        <v>160.24820315330274</v>
      </c>
      <c r="J40" s="25">
        <f t="shared" si="15"/>
        <v>48.00584657650042</v>
      </c>
      <c r="K40" s="32">
        <f t="shared" si="16"/>
        <v>108.64345493448857</v>
      </c>
      <c r="L40" s="39">
        <f t="shared" si="17"/>
        <v>60.63760835798816</v>
      </c>
      <c r="M40" s="41">
        <f t="shared" si="18"/>
        <v>0.7546013484549638</v>
      </c>
      <c r="N40" s="49">
        <f t="shared" si="19"/>
        <v>85.72472602946503</v>
      </c>
      <c r="O40" s="63">
        <f t="shared" si="20"/>
        <v>0.9685283988627311</v>
      </c>
      <c r="P40" s="55">
        <f t="shared" si="21"/>
        <v>0.6231874567072885</v>
      </c>
      <c r="Q40" s="69">
        <v>90</v>
      </c>
      <c r="R40" s="69">
        <f t="shared" si="22"/>
        <v>1.8693346782843347</v>
      </c>
      <c r="S40" s="69">
        <f t="shared" si="23"/>
        <v>2.8200000000000003</v>
      </c>
    </row>
    <row r="41" spans="1:19" ht="12.75">
      <c r="A41" s="73" t="s">
        <v>48</v>
      </c>
      <c r="B41" s="1">
        <v>2004</v>
      </c>
      <c r="C41" s="65">
        <v>3.9044628402366865</v>
      </c>
      <c r="D41" s="65">
        <v>11.088903550295859</v>
      </c>
      <c r="E41" s="65">
        <v>10.421280710059174</v>
      </c>
      <c r="F41" s="1">
        <f t="shared" si="12"/>
        <v>11.088903550295859</v>
      </c>
      <c r="G41" s="1">
        <f t="shared" si="13"/>
        <v>0.3521054018124734</v>
      </c>
      <c r="H41" s="1">
        <f t="shared" si="1"/>
        <v>0.3746624766059599</v>
      </c>
      <c r="I41" s="27">
        <f t="shared" si="14"/>
        <v>176.80012038099264</v>
      </c>
      <c r="J41" s="25">
        <f t="shared" si="15"/>
        <v>34.861275359256126</v>
      </c>
      <c r="K41" s="32">
        <f t="shared" si="16"/>
        <v>123.76008426669485</v>
      </c>
      <c r="L41" s="39">
        <f t="shared" si="17"/>
        <v>88.89880890743872</v>
      </c>
      <c r="M41" s="41">
        <f t="shared" si="18"/>
        <v>1.1062962886259045</v>
      </c>
      <c r="N41" s="49">
        <f t="shared" si="19"/>
        <v>62.25227742724309</v>
      </c>
      <c r="O41" s="63">
        <f t="shared" si="20"/>
        <v>1</v>
      </c>
      <c r="P41" s="55">
        <f t="shared" si="21"/>
        <v>0.6461607583122008</v>
      </c>
      <c r="Q41" s="69">
        <v>90</v>
      </c>
      <c r="R41" s="69">
        <f t="shared" si="22"/>
        <v>2.669068995269895</v>
      </c>
      <c r="S41" s="69">
        <f t="shared" si="23"/>
        <v>5.376654816568047</v>
      </c>
    </row>
    <row r="42" spans="1:25" ht="12.75">
      <c r="A42" s="74" t="s">
        <v>49</v>
      </c>
      <c r="B42" s="1">
        <v>1993</v>
      </c>
      <c r="C42" s="29">
        <v>3.97</v>
      </c>
      <c r="D42" s="29">
        <v>5.8</v>
      </c>
      <c r="E42" s="29">
        <v>7.66</v>
      </c>
      <c r="F42" s="29">
        <v>8.05</v>
      </c>
      <c r="G42" s="29">
        <v>8.75</v>
      </c>
      <c r="H42" s="1">
        <f>C42/F42</f>
        <v>0.493167701863354</v>
      </c>
      <c r="I42" s="27">
        <f>MAX(C42:G42)*1000/1.12/56</f>
        <v>139.50892857142856</v>
      </c>
      <c r="J42" s="25">
        <f>(C42*1000/1.12*0.01)</f>
        <v>35.44642857142857</v>
      </c>
      <c r="K42" s="32">
        <f>F42*1000/1.12*0.0125</f>
        <v>89.84375</v>
      </c>
      <c r="L42" s="39">
        <f>K42-J42</f>
        <v>54.39732142857143</v>
      </c>
      <c r="M42" s="41">
        <f>((F42*1000*0.0125)-(C42*1000*0.01))/150</f>
        <v>0.40616666666666673</v>
      </c>
      <c r="N42" s="49">
        <f>C42*1000/1.12/56</f>
        <v>63.29719387755102</v>
      </c>
      <c r="O42" s="63">
        <f>D42/(MAX(D42:G42))</f>
        <v>0.6628571428571428</v>
      </c>
      <c r="P42" s="55">
        <f>(F42*1000/1.12*0.0125)/150</f>
        <v>0.5989583333333334</v>
      </c>
      <c r="Q42" s="69">
        <v>150</v>
      </c>
      <c r="R42" s="69">
        <f>F42/C42</f>
        <v>2.027707808564232</v>
      </c>
      <c r="U42" s="2">
        <v>0</v>
      </c>
      <c r="V42" s="2">
        <v>50</v>
      </c>
      <c r="W42" s="2">
        <v>100</v>
      </c>
      <c r="X42" s="79">
        <v>150</v>
      </c>
      <c r="Y42" s="2">
        <v>200</v>
      </c>
    </row>
    <row r="43" spans="1:19" ht="12.75">
      <c r="A43" s="74" t="s">
        <v>49</v>
      </c>
      <c r="B43" s="1">
        <v>1994</v>
      </c>
      <c r="C43" s="29">
        <v>7.15</v>
      </c>
      <c r="D43" s="29">
        <v>7.92</v>
      </c>
      <c r="E43" s="29">
        <v>8.16</v>
      </c>
      <c r="F43" s="29">
        <v>7.9</v>
      </c>
      <c r="G43" s="29">
        <v>8.03</v>
      </c>
      <c r="H43" s="1">
        <f aca="true" t="shared" si="24" ref="H43:H62">C43/F43</f>
        <v>0.9050632911392406</v>
      </c>
      <c r="I43" s="27">
        <f aca="true" t="shared" si="25" ref="I43:I54">MAX(C43:G43)*1000/1.12/56</f>
        <v>130.10204081632654</v>
      </c>
      <c r="J43" s="25">
        <f aca="true" t="shared" si="26" ref="J43:J54">(C43*1000/1.12*0.01)</f>
        <v>63.83928571428571</v>
      </c>
      <c r="K43" s="32">
        <f aca="true" t="shared" si="27" ref="K43:K54">F43*1000/1.12*0.0125</f>
        <v>88.16964285714285</v>
      </c>
      <c r="L43" s="39">
        <f aca="true" t="shared" si="28" ref="L43:L51">K43-J43</f>
        <v>24.33035714285714</v>
      </c>
      <c r="M43" s="41">
        <f aca="true" t="shared" si="29" ref="M43:M54">((F43*1000*0.0125)-(C43*1000*0.01))/150</f>
        <v>0.18166666666666667</v>
      </c>
      <c r="N43" s="49">
        <f aca="true" t="shared" si="30" ref="N43:N54">C43*1000/1.12/56</f>
        <v>113.9987244897959</v>
      </c>
      <c r="O43" s="63">
        <f aca="true" t="shared" si="31" ref="O43:O54">D43/(MAX(D43:G43))</f>
        <v>0.9705882352941176</v>
      </c>
      <c r="P43" s="55">
        <f aca="true" t="shared" si="32" ref="P43:P54">(F43*1000/1.12*0.0125)/150</f>
        <v>0.587797619047619</v>
      </c>
      <c r="Q43" s="69">
        <v>150</v>
      </c>
      <c r="R43" s="69">
        <f aca="true" t="shared" si="33" ref="R43:R62">F43/C43</f>
        <v>1.1048951048951048</v>
      </c>
      <c r="S43" s="69">
        <f>R42*(C42)*H42</f>
        <v>3.97</v>
      </c>
    </row>
    <row r="44" spans="1:19" ht="12.75">
      <c r="A44" s="74" t="s">
        <v>49</v>
      </c>
      <c r="B44" s="1">
        <v>1995</v>
      </c>
      <c r="C44" s="29">
        <v>8.62</v>
      </c>
      <c r="D44" s="29">
        <v>10.33</v>
      </c>
      <c r="E44" s="29">
        <v>10.46</v>
      </c>
      <c r="F44" s="29">
        <v>10.59</v>
      </c>
      <c r="G44" s="29">
        <v>10.47</v>
      </c>
      <c r="H44" s="1">
        <f t="shared" si="24"/>
        <v>0.813975448536355</v>
      </c>
      <c r="I44" s="27">
        <f t="shared" si="25"/>
        <v>168.8456632653061</v>
      </c>
      <c r="J44" s="25">
        <f t="shared" si="26"/>
        <v>76.96428571428571</v>
      </c>
      <c r="K44" s="32">
        <f t="shared" si="27"/>
        <v>118.19196428571428</v>
      </c>
      <c r="L44" s="39">
        <f t="shared" si="28"/>
        <v>41.22767857142857</v>
      </c>
      <c r="M44" s="41">
        <f t="shared" si="29"/>
        <v>0.3078333333333333</v>
      </c>
      <c r="N44" s="49">
        <f t="shared" si="30"/>
        <v>137.4362244897959</v>
      </c>
      <c r="O44" s="63">
        <f t="shared" si="31"/>
        <v>0.9754485363550519</v>
      </c>
      <c r="P44" s="55">
        <f t="shared" si="32"/>
        <v>0.7879464285714285</v>
      </c>
      <c r="Q44" s="69">
        <v>150</v>
      </c>
      <c r="R44" s="69">
        <f t="shared" si="33"/>
        <v>1.228538283062645</v>
      </c>
      <c r="S44" s="69">
        <f aca="true" t="shared" si="34" ref="S44:S54">R43*(C43)*H43</f>
        <v>7.1499999999999995</v>
      </c>
    </row>
    <row r="45" spans="1:19" ht="12.75">
      <c r="A45" s="74" t="s">
        <v>49</v>
      </c>
      <c r="B45" s="1">
        <v>1996</v>
      </c>
      <c r="C45" s="29">
        <v>8.77</v>
      </c>
      <c r="D45" s="29">
        <v>11.04</v>
      </c>
      <c r="E45" s="29">
        <v>12.29</v>
      </c>
      <c r="F45" s="29">
        <v>12.67</v>
      </c>
      <c r="G45" s="29">
        <v>12.82</v>
      </c>
      <c r="H45" s="1">
        <f t="shared" si="24"/>
        <v>0.6921862667719021</v>
      </c>
      <c r="I45" s="27">
        <f t="shared" si="25"/>
        <v>204.40051020408163</v>
      </c>
      <c r="J45" s="25">
        <f t="shared" si="26"/>
        <v>78.30357142857143</v>
      </c>
      <c r="K45" s="32">
        <f t="shared" si="27"/>
        <v>141.40624999999997</v>
      </c>
      <c r="L45" s="39">
        <f t="shared" si="28"/>
        <v>63.10267857142854</v>
      </c>
      <c r="M45" s="41">
        <f t="shared" si="29"/>
        <v>0.4711666666666666</v>
      </c>
      <c r="N45" s="49">
        <f t="shared" si="30"/>
        <v>139.82780612244898</v>
      </c>
      <c r="O45" s="63">
        <f t="shared" si="31"/>
        <v>0.861154446177847</v>
      </c>
      <c r="P45" s="55">
        <f t="shared" si="32"/>
        <v>0.9427083333333331</v>
      </c>
      <c r="Q45" s="69">
        <v>150</v>
      </c>
      <c r="R45" s="69">
        <f t="shared" si="33"/>
        <v>1.444697833523375</v>
      </c>
      <c r="S45" s="69">
        <f t="shared" si="34"/>
        <v>8.62</v>
      </c>
    </row>
    <row r="46" spans="1:19" ht="12.75">
      <c r="A46" s="74" t="s">
        <v>49</v>
      </c>
      <c r="B46" s="1">
        <v>1997</v>
      </c>
      <c r="C46" s="29">
        <v>10.97</v>
      </c>
      <c r="D46" s="29">
        <v>12.35</v>
      </c>
      <c r="E46" s="29">
        <v>13</v>
      </c>
      <c r="F46" s="29">
        <v>13.4</v>
      </c>
      <c r="G46" s="29">
        <v>13.32</v>
      </c>
      <c r="H46" s="1">
        <f t="shared" si="24"/>
        <v>0.8186567164179105</v>
      </c>
      <c r="I46" s="27">
        <f t="shared" si="25"/>
        <v>213.64795918367346</v>
      </c>
      <c r="J46" s="25">
        <f t="shared" si="26"/>
        <v>97.94642857142857</v>
      </c>
      <c r="K46" s="32">
        <f t="shared" si="27"/>
        <v>149.55357142857142</v>
      </c>
      <c r="L46" s="39">
        <f t="shared" si="28"/>
        <v>51.60714285714285</v>
      </c>
      <c r="M46" s="41">
        <f t="shared" si="29"/>
        <v>0.3853333333333333</v>
      </c>
      <c r="N46" s="49">
        <f t="shared" si="30"/>
        <v>174.90433673469389</v>
      </c>
      <c r="O46" s="63">
        <f t="shared" si="31"/>
        <v>0.9216417910447761</v>
      </c>
      <c r="P46" s="55">
        <f t="shared" si="32"/>
        <v>0.9970238095238094</v>
      </c>
      <c r="Q46" s="69">
        <v>150</v>
      </c>
      <c r="R46" s="69">
        <f t="shared" si="33"/>
        <v>1.2215132178669097</v>
      </c>
      <c r="S46" s="69">
        <f t="shared" si="34"/>
        <v>8.77</v>
      </c>
    </row>
    <row r="47" spans="1:19" ht="12.75">
      <c r="A47" s="74" t="s">
        <v>49</v>
      </c>
      <c r="B47" s="1">
        <v>1998</v>
      </c>
      <c r="C47" s="29">
        <v>6.61</v>
      </c>
      <c r="D47" s="29">
        <v>9.2</v>
      </c>
      <c r="E47" s="29">
        <v>11.19</v>
      </c>
      <c r="F47" s="29">
        <v>11.84</v>
      </c>
      <c r="G47" s="29">
        <v>11.95</v>
      </c>
      <c r="H47" s="1">
        <f t="shared" si="24"/>
        <v>0.5582770270270271</v>
      </c>
      <c r="I47" s="27">
        <f t="shared" si="25"/>
        <v>190.52933673469389</v>
      </c>
      <c r="J47" s="25">
        <f t="shared" si="26"/>
        <v>59.01785714285714</v>
      </c>
      <c r="K47" s="32">
        <f t="shared" si="27"/>
        <v>132.14285714285714</v>
      </c>
      <c r="L47" s="39">
        <f t="shared" si="28"/>
        <v>73.125</v>
      </c>
      <c r="M47" s="41">
        <f t="shared" si="29"/>
        <v>0.546</v>
      </c>
      <c r="N47" s="49">
        <f t="shared" si="30"/>
        <v>105.3890306122449</v>
      </c>
      <c r="O47" s="63">
        <f t="shared" si="31"/>
        <v>0.7698744769874477</v>
      </c>
      <c r="P47" s="55">
        <f t="shared" si="32"/>
        <v>0.8809523809523809</v>
      </c>
      <c r="Q47" s="69">
        <v>150</v>
      </c>
      <c r="R47" s="69">
        <f t="shared" si="33"/>
        <v>1.7912254160363086</v>
      </c>
      <c r="S47" s="69">
        <f t="shared" si="34"/>
        <v>10.97</v>
      </c>
    </row>
    <row r="48" spans="1:19" ht="12.75">
      <c r="A48" s="74" t="s">
        <v>49</v>
      </c>
      <c r="B48" s="1">
        <v>1999</v>
      </c>
      <c r="C48" s="29">
        <v>7.85</v>
      </c>
      <c r="D48" s="29">
        <v>10.13</v>
      </c>
      <c r="E48" s="29">
        <v>11.3</v>
      </c>
      <c r="F48" s="29">
        <v>11.59</v>
      </c>
      <c r="G48" s="29">
        <v>11.96</v>
      </c>
      <c r="H48" s="1">
        <f t="shared" si="24"/>
        <v>0.6773080241587576</v>
      </c>
      <c r="I48" s="27">
        <f t="shared" si="25"/>
        <v>190.68877551020407</v>
      </c>
      <c r="J48" s="25">
        <f t="shared" si="26"/>
        <v>70.08928571428571</v>
      </c>
      <c r="K48" s="32">
        <f t="shared" si="27"/>
        <v>129.35267857142856</v>
      </c>
      <c r="L48" s="39">
        <f t="shared" si="28"/>
        <v>59.26339285714285</v>
      </c>
      <c r="M48" s="41">
        <f t="shared" si="29"/>
        <v>0.4425</v>
      </c>
      <c r="N48" s="49">
        <f t="shared" si="30"/>
        <v>125.1594387755102</v>
      </c>
      <c r="O48" s="63">
        <f t="shared" si="31"/>
        <v>0.846989966555184</v>
      </c>
      <c r="P48" s="55">
        <f t="shared" si="32"/>
        <v>0.8623511904761904</v>
      </c>
      <c r="Q48" s="69">
        <v>150</v>
      </c>
      <c r="R48" s="69">
        <f t="shared" si="33"/>
        <v>1.4764331210191084</v>
      </c>
      <c r="S48" s="69">
        <f t="shared" si="34"/>
        <v>6.61</v>
      </c>
    </row>
    <row r="49" spans="1:19" ht="12.75">
      <c r="A49" s="74" t="s">
        <v>49</v>
      </c>
      <c r="B49" s="1">
        <v>2000</v>
      </c>
      <c r="C49" s="29">
        <v>4.73</v>
      </c>
      <c r="D49" s="29">
        <v>9.15</v>
      </c>
      <c r="E49" s="29">
        <v>11.74</v>
      </c>
      <c r="F49" s="29">
        <v>12.07</v>
      </c>
      <c r="G49" s="29">
        <v>11.93</v>
      </c>
      <c r="H49" s="1">
        <f t="shared" si="24"/>
        <v>0.391880695940348</v>
      </c>
      <c r="I49" s="27">
        <f t="shared" si="25"/>
        <v>192.44260204081633</v>
      </c>
      <c r="J49" s="25">
        <f t="shared" si="26"/>
        <v>42.232142857142854</v>
      </c>
      <c r="K49" s="32">
        <f t="shared" si="27"/>
        <v>134.70982142857142</v>
      </c>
      <c r="L49" s="39">
        <f t="shared" si="28"/>
        <v>92.47767857142856</v>
      </c>
      <c r="M49" s="41">
        <f t="shared" si="29"/>
        <v>0.6904999999999999</v>
      </c>
      <c r="N49" s="49">
        <f t="shared" si="30"/>
        <v>75.41454081632652</v>
      </c>
      <c r="O49" s="63">
        <f t="shared" si="31"/>
        <v>0.7580778790389395</v>
      </c>
      <c r="P49" s="55">
        <f t="shared" si="32"/>
        <v>0.8980654761904762</v>
      </c>
      <c r="Q49" s="69">
        <v>150</v>
      </c>
      <c r="R49" s="69">
        <f t="shared" si="33"/>
        <v>2.551797040169133</v>
      </c>
      <c r="S49" s="69">
        <f t="shared" si="34"/>
        <v>7.8500000000000005</v>
      </c>
    </row>
    <row r="50" spans="1:19" ht="12.75">
      <c r="A50" s="74" t="s">
        <v>49</v>
      </c>
      <c r="B50" s="1">
        <v>2001</v>
      </c>
      <c r="C50" s="29">
        <v>3.51</v>
      </c>
      <c r="D50" s="29">
        <v>6.94</v>
      </c>
      <c r="E50" s="29">
        <v>9.16</v>
      </c>
      <c r="F50" s="29">
        <v>10.41</v>
      </c>
      <c r="G50" s="29">
        <v>10.7</v>
      </c>
      <c r="H50" s="1">
        <f t="shared" si="24"/>
        <v>0.3371757925072046</v>
      </c>
      <c r="I50" s="27">
        <f t="shared" si="25"/>
        <v>170.59948979591834</v>
      </c>
      <c r="J50" s="25">
        <f t="shared" si="26"/>
        <v>31.33928571428571</v>
      </c>
      <c r="K50" s="32">
        <f t="shared" si="27"/>
        <v>116.18303571428572</v>
      </c>
      <c r="L50" s="39">
        <f t="shared" si="28"/>
        <v>84.84375000000001</v>
      </c>
      <c r="M50" s="41">
        <f t="shared" si="29"/>
        <v>0.6335000000000001</v>
      </c>
      <c r="N50" s="49">
        <f t="shared" si="30"/>
        <v>55.96301020408163</v>
      </c>
      <c r="O50" s="63">
        <f t="shared" si="31"/>
        <v>0.6485981308411216</v>
      </c>
      <c r="P50" s="55">
        <f t="shared" si="32"/>
        <v>0.7745535714285715</v>
      </c>
      <c r="Q50" s="69">
        <v>150</v>
      </c>
      <c r="R50" s="69">
        <f t="shared" si="33"/>
        <v>2.965811965811966</v>
      </c>
      <c r="S50" s="69">
        <f t="shared" si="34"/>
        <v>4.73</v>
      </c>
    </row>
    <row r="51" spans="1:19" ht="12.75">
      <c r="A51" s="74" t="s">
        <v>49</v>
      </c>
      <c r="B51" s="1">
        <v>2002</v>
      </c>
      <c r="C51" s="29">
        <v>4.93</v>
      </c>
      <c r="D51" s="29">
        <v>8.11</v>
      </c>
      <c r="E51" s="29">
        <v>10.2</v>
      </c>
      <c r="F51" s="29">
        <v>11.06</v>
      </c>
      <c r="G51" s="29">
        <v>11.54</v>
      </c>
      <c r="H51" s="1">
        <f t="shared" si="24"/>
        <v>0.445750452079566</v>
      </c>
      <c r="I51" s="27">
        <f t="shared" si="25"/>
        <v>183.99234693877548</v>
      </c>
      <c r="J51" s="25">
        <f t="shared" si="26"/>
        <v>44.01785714285714</v>
      </c>
      <c r="K51" s="32">
        <f t="shared" si="27"/>
        <v>123.43749999999999</v>
      </c>
      <c r="L51" s="39">
        <f t="shared" si="28"/>
        <v>79.41964285714285</v>
      </c>
      <c r="M51" s="41">
        <f t="shared" si="29"/>
        <v>0.593</v>
      </c>
      <c r="N51" s="49">
        <f t="shared" si="30"/>
        <v>78.6033163265306</v>
      </c>
      <c r="O51" s="63">
        <f t="shared" si="31"/>
        <v>0.7027729636048526</v>
      </c>
      <c r="P51" s="55">
        <f t="shared" si="32"/>
        <v>0.8229166666666665</v>
      </c>
      <c r="Q51" s="69">
        <v>150</v>
      </c>
      <c r="R51" s="69">
        <f t="shared" si="33"/>
        <v>2.243407707910751</v>
      </c>
      <c r="S51" s="69">
        <f t="shared" si="34"/>
        <v>3.51</v>
      </c>
    </row>
    <row r="52" spans="1:19" ht="12.75">
      <c r="A52" s="74" t="s">
        <v>49</v>
      </c>
      <c r="B52" s="1">
        <v>2003</v>
      </c>
      <c r="C52" s="29">
        <v>3.707943537735849</v>
      </c>
      <c r="D52" s="29">
        <v>7.461808789308176</v>
      </c>
      <c r="E52" s="29">
        <v>10.586598113207547</v>
      </c>
      <c r="F52" s="29">
        <v>12.081301823899372</v>
      </c>
      <c r="G52" s="29">
        <v>12.113670330188679</v>
      </c>
      <c r="H52" s="1">
        <f t="shared" si="24"/>
        <v>0.3069158929876871</v>
      </c>
      <c r="I52" s="27">
        <f t="shared" si="25"/>
        <v>193.13887643795724</v>
      </c>
      <c r="J52" s="25">
        <f t="shared" si="26"/>
        <v>33.106638729784365</v>
      </c>
      <c r="K52" s="32">
        <f t="shared" si="27"/>
        <v>134.83595785601977</v>
      </c>
      <c r="L52" s="39">
        <f>K52-J52</f>
        <v>101.72931912623541</v>
      </c>
      <c r="M52" s="41">
        <f t="shared" si="29"/>
        <v>0.7595789161425578</v>
      </c>
      <c r="N52" s="49">
        <f t="shared" si="30"/>
        <v>59.118997731757794</v>
      </c>
      <c r="O52" s="63">
        <f t="shared" si="31"/>
        <v>0.6159824880418346</v>
      </c>
      <c r="P52" s="55">
        <f t="shared" si="32"/>
        <v>0.8989063857067985</v>
      </c>
      <c r="Q52" s="69">
        <v>150</v>
      </c>
      <c r="R52" s="69">
        <f t="shared" si="33"/>
        <v>3.2582216263402106</v>
      </c>
      <c r="S52" s="69">
        <f t="shared" si="34"/>
        <v>4.93</v>
      </c>
    </row>
    <row r="53" spans="1:19" ht="12.75">
      <c r="A53" s="74" t="s">
        <v>49</v>
      </c>
      <c r="B53" s="1">
        <v>2004</v>
      </c>
      <c r="C53" s="29">
        <v>5.238007279874213</v>
      </c>
      <c r="D53" s="29">
        <v>9.056190628930818</v>
      </c>
      <c r="E53" s="29">
        <v>11.524423270440252</v>
      </c>
      <c r="F53" s="29">
        <v>12.612085566037736</v>
      </c>
      <c r="G53" s="29">
        <v>13.671501808176101</v>
      </c>
      <c r="H53" s="1">
        <f t="shared" si="24"/>
        <v>0.41531650355903876</v>
      </c>
      <c r="I53" s="27">
        <f t="shared" si="25"/>
        <v>217.97675076811382</v>
      </c>
      <c r="J53" s="25">
        <f t="shared" si="26"/>
        <v>46.76792214173405</v>
      </c>
      <c r="K53" s="32">
        <f t="shared" si="27"/>
        <v>140.7598835495283</v>
      </c>
      <c r="L53" s="39">
        <f>K53-J53</f>
        <v>93.99196140779425</v>
      </c>
      <c r="M53" s="41">
        <f t="shared" si="29"/>
        <v>0.7018066451781972</v>
      </c>
      <c r="N53" s="49">
        <f t="shared" si="30"/>
        <v>83.51414668166794</v>
      </c>
      <c r="O53" s="63">
        <f t="shared" si="31"/>
        <v>0.6624137388852814</v>
      </c>
      <c r="P53" s="55">
        <f t="shared" si="32"/>
        <v>0.938399223663522</v>
      </c>
      <c r="Q53" s="69">
        <v>150</v>
      </c>
      <c r="R53" s="69">
        <f t="shared" si="33"/>
        <v>2.4078022217526596</v>
      </c>
      <c r="S53" s="69">
        <f t="shared" si="34"/>
        <v>3.707943537735849</v>
      </c>
    </row>
    <row r="54" spans="1:19" ht="12.75">
      <c r="A54" s="74" t="s">
        <v>49</v>
      </c>
      <c r="B54" s="1">
        <v>2005</v>
      </c>
      <c r="C54" s="29">
        <v>4.2473698113207545</v>
      </c>
      <c r="D54" s="29">
        <v>7.1825588993710685</v>
      </c>
      <c r="E54" s="29">
        <v>9.242886006289307</v>
      </c>
      <c r="F54" s="29">
        <v>10.168478301886793</v>
      </c>
      <c r="G54" s="29">
        <v>11.283681949685535</v>
      </c>
      <c r="H54" s="1">
        <f t="shared" si="24"/>
        <v>0.4176996483861938</v>
      </c>
      <c r="I54" s="27">
        <f t="shared" si="25"/>
        <v>179.90564333044537</v>
      </c>
      <c r="J54" s="25">
        <f t="shared" si="26"/>
        <v>37.922944743935304</v>
      </c>
      <c r="K54" s="32">
        <f t="shared" si="27"/>
        <v>113.48748104784366</v>
      </c>
      <c r="L54" s="39">
        <f>K54-J54</f>
        <v>75.56453630390835</v>
      </c>
      <c r="M54" s="41">
        <f t="shared" si="29"/>
        <v>0.5642152044025158</v>
      </c>
      <c r="N54" s="49">
        <f t="shared" si="30"/>
        <v>67.71954418559876</v>
      </c>
      <c r="O54" s="63">
        <f t="shared" si="31"/>
        <v>0.636543898649256</v>
      </c>
      <c r="P54" s="55">
        <f t="shared" si="32"/>
        <v>0.7565832069856244</v>
      </c>
      <c r="Q54" s="69">
        <v>150</v>
      </c>
      <c r="R54" s="69">
        <f t="shared" si="33"/>
        <v>2.394064739732381</v>
      </c>
      <c r="S54" s="69">
        <f t="shared" si="34"/>
        <v>5.238007279874213</v>
      </c>
    </row>
    <row r="55" spans="1:25" ht="12.75">
      <c r="A55" s="75" t="s">
        <v>50</v>
      </c>
      <c r="B55" s="1">
        <v>1998</v>
      </c>
      <c r="C55" s="55">
        <v>156.2074285</v>
      </c>
      <c r="D55" s="55">
        <v>206.6695976</v>
      </c>
      <c r="E55" s="55">
        <v>228.8849205</v>
      </c>
      <c r="F55" s="55">
        <v>233.4124947</v>
      </c>
      <c r="G55" s="55">
        <v>231.5086487</v>
      </c>
      <c r="H55" s="1">
        <f t="shared" si="24"/>
        <v>0.6692333617391392</v>
      </c>
      <c r="I55" s="28">
        <f>MAX(C55:G55)</f>
        <v>233.4124947</v>
      </c>
      <c r="J55" s="25">
        <f>(C55*56*0.01)</f>
        <v>87.47615996</v>
      </c>
      <c r="K55" s="34">
        <f>E55*56*0.0125</f>
        <v>160.21944435</v>
      </c>
      <c r="L55" s="37">
        <f>K55-J55</f>
        <v>72.74328439</v>
      </c>
      <c r="M55" s="41">
        <f>((E55*56*0.0125)-(C55*56*0.01))/120</f>
        <v>0.6061940365833334</v>
      </c>
      <c r="N55" s="49">
        <f>C55</f>
        <v>156.2074285</v>
      </c>
      <c r="O55" s="63">
        <f>C55/(MAX(C55:G55))</f>
        <v>0.6692333617391392</v>
      </c>
      <c r="P55" s="57">
        <f>(E55*56*0.0125)/120</f>
        <v>1.33516203625</v>
      </c>
      <c r="Q55" s="69">
        <v>120</v>
      </c>
      <c r="R55" s="69">
        <f>F55/C55</f>
        <v>1.494247085054601</v>
      </c>
      <c r="U55" s="2">
        <v>40</v>
      </c>
      <c r="V55" s="2">
        <v>60</v>
      </c>
      <c r="W55" s="2">
        <v>120</v>
      </c>
      <c r="X55" s="79">
        <v>180</v>
      </c>
      <c r="Y55" s="2">
        <v>240</v>
      </c>
    </row>
    <row r="56" spans="1:19" ht="12.75">
      <c r="A56" s="75" t="s">
        <v>50</v>
      </c>
      <c r="B56" s="1">
        <v>1999</v>
      </c>
      <c r="C56" s="55">
        <v>153.2458314</v>
      </c>
      <c r="D56" s="55">
        <v>155.2796394</v>
      </c>
      <c r="E56" s="55">
        <v>176.0171462</v>
      </c>
      <c r="F56" s="55">
        <v>179.3511244</v>
      </c>
      <c r="G56" s="55">
        <v>171.5240988</v>
      </c>
      <c r="H56" s="1">
        <f t="shared" si="24"/>
        <v>0.8544458916143822</v>
      </c>
      <c r="I56" s="28">
        <f aca="true" t="shared" si="35" ref="I56:I62">MAX(C56:G56)</f>
        <v>179.3511244</v>
      </c>
      <c r="J56" s="25">
        <f aca="true" t="shared" si="36" ref="J56:J62">(C56*56*0.01)</f>
        <v>85.81766558399998</v>
      </c>
      <c r="K56" s="34">
        <f aca="true" t="shared" si="37" ref="K56:K62">E56*56*0.0125</f>
        <v>123.21200234000001</v>
      </c>
      <c r="L56" s="37">
        <f aca="true" t="shared" si="38" ref="L56:L62">K56-J56</f>
        <v>37.39433675600003</v>
      </c>
      <c r="M56" s="41">
        <f aca="true" t="shared" si="39" ref="M56:M62">((E56*56*0.0125)-(C56*56*0.01))/120</f>
        <v>0.3116194729666669</v>
      </c>
      <c r="N56" s="49">
        <f aca="true" t="shared" si="40" ref="N56:N62">C56</f>
        <v>153.2458314</v>
      </c>
      <c r="O56" s="63">
        <f aca="true" t="shared" si="41" ref="O56:O62">C56/(MAX(C56:G56))</f>
        <v>0.8544458916143822</v>
      </c>
      <c r="P56" s="57">
        <f aca="true" t="shared" si="42" ref="P56:P62">(E56*56*0.0125)/120</f>
        <v>1.0267666861666667</v>
      </c>
      <c r="Q56" s="69">
        <v>120</v>
      </c>
      <c r="R56" s="69">
        <f t="shared" si="33"/>
        <v>1.1703491231148753</v>
      </c>
      <c r="S56" s="69">
        <f>R55*(C55*56*1.12/1000)*H55</f>
        <v>9.797329915520002</v>
      </c>
    </row>
    <row r="57" spans="1:19" ht="12.75">
      <c r="A57" s="75" t="s">
        <v>50</v>
      </c>
      <c r="B57" s="1">
        <v>2000</v>
      </c>
      <c r="C57" s="55">
        <v>146.8176712</v>
      </c>
      <c r="D57" s="55">
        <v>150.2831579</v>
      </c>
      <c r="E57" s="55">
        <v>150.3197366</v>
      </c>
      <c r="F57" s="55">
        <v>161.2224769</v>
      </c>
      <c r="G57" s="55">
        <v>159.8345916</v>
      </c>
      <c r="H57" s="1">
        <f t="shared" si="24"/>
        <v>0.9106526212909213</v>
      </c>
      <c r="I57" s="28">
        <f t="shared" si="35"/>
        <v>161.2224769</v>
      </c>
      <c r="J57" s="25">
        <f t="shared" si="36"/>
        <v>82.21789587200001</v>
      </c>
      <c r="K57" s="34">
        <f t="shared" si="37"/>
        <v>105.22381562000001</v>
      </c>
      <c r="L57" s="37">
        <f t="shared" si="38"/>
        <v>23.005919747999997</v>
      </c>
      <c r="M57" s="41">
        <f t="shared" si="39"/>
        <v>0.19171599789999996</v>
      </c>
      <c r="N57" s="49">
        <f t="shared" si="40"/>
        <v>146.8176712</v>
      </c>
      <c r="O57" s="63">
        <f t="shared" si="41"/>
        <v>0.9106526212909213</v>
      </c>
      <c r="P57" s="57">
        <f t="shared" si="42"/>
        <v>0.8768651301666668</v>
      </c>
      <c r="Q57" s="69">
        <v>120</v>
      </c>
      <c r="R57" s="69">
        <f t="shared" si="33"/>
        <v>1.0981135689066834</v>
      </c>
      <c r="S57" s="69">
        <f aca="true" t="shared" si="43" ref="S57:S62">R56*(C56*56*1.12/1000)*H56</f>
        <v>9.611578545408</v>
      </c>
    </row>
    <row r="58" spans="1:19" ht="12.75">
      <c r="A58" s="75" t="s">
        <v>50</v>
      </c>
      <c r="B58" s="1">
        <v>2001</v>
      </c>
      <c r="C58" s="55">
        <v>148.9982549</v>
      </c>
      <c r="D58" s="55">
        <v>154.5586565</v>
      </c>
      <c r="E58" s="55">
        <v>176.1464785</v>
      </c>
      <c r="F58" s="55">
        <v>179.1155182</v>
      </c>
      <c r="G58" s="55">
        <v>185.1512599</v>
      </c>
      <c r="H58" s="1">
        <f t="shared" si="24"/>
        <v>0.8318556448784571</v>
      </c>
      <c r="I58" s="28">
        <f t="shared" si="35"/>
        <v>185.1512599</v>
      </c>
      <c r="J58" s="25">
        <f t="shared" si="36"/>
        <v>83.439022744</v>
      </c>
      <c r="K58" s="34">
        <f t="shared" si="37"/>
        <v>123.30253495</v>
      </c>
      <c r="L58" s="37">
        <f t="shared" si="38"/>
        <v>39.863512205999996</v>
      </c>
      <c r="M58" s="41">
        <f t="shared" si="39"/>
        <v>0.33219593504999995</v>
      </c>
      <c r="N58" s="49">
        <f t="shared" si="40"/>
        <v>148.9982549</v>
      </c>
      <c r="O58" s="63">
        <f t="shared" si="41"/>
        <v>0.8047380016775139</v>
      </c>
      <c r="P58" s="57">
        <f t="shared" si="42"/>
        <v>1.0275211245833333</v>
      </c>
      <c r="Q58" s="69">
        <v>120</v>
      </c>
      <c r="R58" s="69">
        <f t="shared" si="33"/>
        <v>1.2021316512747962</v>
      </c>
      <c r="S58" s="69">
        <f t="shared" si="43"/>
        <v>9.208404337664001</v>
      </c>
    </row>
    <row r="59" spans="1:19" ht="12.75">
      <c r="A59" s="75" t="s">
        <v>50</v>
      </c>
      <c r="B59" s="1">
        <v>2002</v>
      </c>
      <c r="C59" s="55">
        <v>79.64325167</v>
      </c>
      <c r="D59" s="55">
        <v>81.13577857</v>
      </c>
      <c r="E59" s="55">
        <v>94.17974275</v>
      </c>
      <c r="F59" s="55">
        <v>86.10616797</v>
      </c>
      <c r="G59" s="55">
        <v>86.13121086</v>
      </c>
      <c r="H59" s="1">
        <f t="shared" si="24"/>
        <v>0.9249424698326869</v>
      </c>
      <c r="I59" s="28">
        <f t="shared" si="35"/>
        <v>94.17974275</v>
      </c>
      <c r="J59" s="25">
        <f t="shared" si="36"/>
        <v>44.6002209352</v>
      </c>
      <c r="K59" s="34">
        <f t="shared" si="37"/>
        <v>65.925819925</v>
      </c>
      <c r="L59" s="37">
        <f t="shared" si="38"/>
        <v>21.3255989898</v>
      </c>
      <c r="M59" s="41">
        <f t="shared" si="39"/>
        <v>0.177713324915</v>
      </c>
      <c r="N59" s="49">
        <f t="shared" si="40"/>
        <v>79.64325167</v>
      </c>
      <c r="O59" s="63">
        <f t="shared" si="41"/>
        <v>0.8456516162017229</v>
      </c>
      <c r="P59" s="57">
        <f t="shared" si="42"/>
        <v>0.5493818327083333</v>
      </c>
      <c r="Q59" s="69">
        <v>120</v>
      </c>
      <c r="R59" s="69">
        <f t="shared" si="33"/>
        <v>1.081148322858275</v>
      </c>
      <c r="S59" s="69">
        <f t="shared" si="43"/>
        <v>9.345170547328001</v>
      </c>
    </row>
    <row r="60" spans="1:19" ht="12.75">
      <c r="A60" s="75" t="s">
        <v>50</v>
      </c>
      <c r="B60" s="1">
        <v>2003</v>
      </c>
      <c r="C60" s="55">
        <v>135.001137</v>
      </c>
      <c r="D60" s="55">
        <v>149.1617288</v>
      </c>
      <c r="E60" s="55">
        <v>199.4601245</v>
      </c>
      <c r="F60" s="55">
        <v>233.7909584</v>
      </c>
      <c r="G60" s="55">
        <v>235.6736741</v>
      </c>
      <c r="H60" s="1">
        <f t="shared" si="24"/>
        <v>0.5774437896311734</v>
      </c>
      <c r="I60" s="28">
        <f t="shared" si="35"/>
        <v>235.6736741</v>
      </c>
      <c r="J60" s="25">
        <f t="shared" si="36"/>
        <v>75.60063672</v>
      </c>
      <c r="K60" s="34">
        <f t="shared" si="37"/>
        <v>139.62208715000003</v>
      </c>
      <c r="L60" s="37">
        <f t="shared" si="38"/>
        <v>64.02145043000003</v>
      </c>
      <c r="M60" s="41">
        <f t="shared" si="39"/>
        <v>0.533512086916667</v>
      </c>
      <c r="N60" s="49">
        <f t="shared" si="40"/>
        <v>135.001137</v>
      </c>
      <c r="O60" s="63">
        <f t="shared" si="41"/>
        <v>0.5728307903525827</v>
      </c>
      <c r="P60" s="57">
        <f t="shared" si="42"/>
        <v>1.163517392916667</v>
      </c>
      <c r="Q60" s="69">
        <v>120</v>
      </c>
      <c r="R60" s="69">
        <f t="shared" si="33"/>
        <v>1.7317702916828026</v>
      </c>
      <c r="S60" s="69">
        <f t="shared" si="43"/>
        <v>4.9952247447424005</v>
      </c>
    </row>
    <row r="61" spans="1:19" ht="12.75">
      <c r="A61" s="75" t="s">
        <v>50</v>
      </c>
      <c r="B61" s="1">
        <v>2004</v>
      </c>
      <c r="C61" s="55">
        <v>187.6356935</v>
      </c>
      <c r="D61" s="55">
        <v>181.4037123</v>
      </c>
      <c r="E61" s="55">
        <v>190.8010497</v>
      </c>
      <c r="F61" s="55">
        <v>194.9232005</v>
      </c>
      <c r="G61" s="55">
        <v>193.6163823</v>
      </c>
      <c r="H61" s="1">
        <f t="shared" si="24"/>
        <v>0.9626134447756515</v>
      </c>
      <c r="I61" s="28">
        <f t="shared" si="35"/>
        <v>194.9232005</v>
      </c>
      <c r="J61" s="25">
        <f t="shared" si="36"/>
        <v>105.07598836000001</v>
      </c>
      <c r="K61" s="34">
        <f t="shared" si="37"/>
        <v>133.56073479</v>
      </c>
      <c r="L61" s="37">
        <f t="shared" si="38"/>
        <v>28.484746429999987</v>
      </c>
      <c r="M61" s="41">
        <f t="shared" si="39"/>
        <v>0.23737288691666655</v>
      </c>
      <c r="N61" s="49">
        <f t="shared" si="40"/>
        <v>187.6356935</v>
      </c>
      <c r="O61" s="63">
        <f t="shared" si="41"/>
        <v>0.9626134447756515</v>
      </c>
      <c r="P61" s="57">
        <f t="shared" si="42"/>
        <v>1.11300612325</v>
      </c>
      <c r="Q61" s="69">
        <v>120</v>
      </c>
      <c r="R61" s="69">
        <f t="shared" si="33"/>
        <v>1.0388385965594547</v>
      </c>
      <c r="S61" s="69">
        <f t="shared" si="43"/>
        <v>8.467271312640001</v>
      </c>
    </row>
    <row r="62" spans="1:19" ht="12.75">
      <c r="A62" s="75" t="s">
        <v>50</v>
      </c>
      <c r="B62" s="1">
        <v>2005</v>
      </c>
      <c r="C62" s="55">
        <v>161.8405107</v>
      </c>
      <c r="D62" s="55">
        <v>176.3195224</v>
      </c>
      <c r="E62" s="55">
        <v>188.6751796</v>
      </c>
      <c r="F62" s="55">
        <v>192.4996232</v>
      </c>
      <c r="G62" s="55">
        <v>192.7335576</v>
      </c>
      <c r="H62" s="1">
        <f t="shared" si="24"/>
        <v>0.8407315713644473</v>
      </c>
      <c r="I62" s="28">
        <f t="shared" si="35"/>
        <v>192.7335576</v>
      </c>
      <c r="J62" s="25">
        <f t="shared" si="36"/>
        <v>90.630685992</v>
      </c>
      <c r="K62" s="34">
        <f t="shared" si="37"/>
        <v>132.07262572</v>
      </c>
      <c r="L62" s="37">
        <f t="shared" si="38"/>
        <v>41.441939727999994</v>
      </c>
      <c r="M62" s="41">
        <f t="shared" si="39"/>
        <v>0.3453494977333333</v>
      </c>
      <c r="N62" s="49">
        <f t="shared" si="40"/>
        <v>161.8405107</v>
      </c>
      <c r="O62" s="63">
        <f t="shared" si="41"/>
        <v>0.8397111157771728</v>
      </c>
      <c r="P62" s="57">
        <f t="shared" si="42"/>
        <v>1.1006052143333334</v>
      </c>
      <c r="Q62" s="69">
        <v>120</v>
      </c>
      <c r="R62" s="69">
        <f t="shared" si="33"/>
        <v>1.1894402851757684</v>
      </c>
      <c r="S62" s="69">
        <f t="shared" si="43"/>
        <v>11.76851069632</v>
      </c>
    </row>
    <row r="63" spans="1:23" ht="12.75">
      <c r="A63" s="73" t="s">
        <v>51</v>
      </c>
      <c r="B63" s="1">
        <v>1986</v>
      </c>
      <c r="C63" s="55">
        <v>166</v>
      </c>
      <c r="D63" s="55">
        <v>188</v>
      </c>
      <c r="E63" s="55">
        <v>191</v>
      </c>
      <c r="H63" s="1">
        <f>C63/E63</f>
        <v>0.8691099476439791</v>
      </c>
      <c r="I63" s="27">
        <f>MAX(C63:E63)</f>
        <v>191</v>
      </c>
      <c r="J63" s="25">
        <f>(C63*56*0.01)</f>
        <v>92.96000000000001</v>
      </c>
      <c r="K63" s="34">
        <f>E63*56*0.0125</f>
        <v>133.70000000000002</v>
      </c>
      <c r="L63" s="37">
        <f>K63-J63</f>
        <v>40.74000000000001</v>
      </c>
      <c r="M63" s="41">
        <f>((E63*56*0.0125)-(C63*56*0.01))/134</f>
        <v>0.3040298507462687</v>
      </c>
      <c r="N63" s="49">
        <f>C63</f>
        <v>166</v>
      </c>
      <c r="O63" s="63">
        <f>D63/(MAX(D63:E63))</f>
        <v>0.9842931937172775</v>
      </c>
      <c r="P63" s="57">
        <f>(E63*56*0.0125)/134</f>
        <v>0.9977611940298509</v>
      </c>
      <c r="Q63" s="69">
        <v>134</v>
      </c>
      <c r="R63" s="69">
        <f>E63/C63</f>
        <v>1.1506024096385543</v>
      </c>
      <c r="U63" s="2">
        <v>0</v>
      </c>
      <c r="V63" s="2">
        <v>67</v>
      </c>
      <c r="W63" s="79">
        <v>134</v>
      </c>
    </row>
    <row r="64" spans="1:19" ht="12.75">
      <c r="A64" s="73" t="s">
        <v>51</v>
      </c>
      <c r="B64" s="1">
        <v>1987</v>
      </c>
      <c r="C64" s="55">
        <v>95.4</v>
      </c>
      <c r="D64" s="55">
        <v>159</v>
      </c>
      <c r="E64" s="55">
        <v>183</v>
      </c>
      <c r="H64" s="1">
        <f aca="true" t="shared" si="44" ref="H64:H76">C64/E64</f>
        <v>0.5213114754098361</v>
      </c>
      <c r="I64" s="27">
        <f aca="true" t="shared" si="45" ref="I64:I76">MAX(C64:E64)</f>
        <v>183</v>
      </c>
      <c r="J64" s="25">
        <f aca="true" t="shared" si="46" ref="J64:J76">(C64*56*0.01)</f>
        <v>53.42400000000001</v>
      </c>
      <c r="K64" s="34">
        <f aca="true" t="shared" si="47" ref="K64:K76">E64*56*0.0125</f>
        <v>128.1</v>
      </c>
      <c r="L64" s="37">
        <f aca="true" t="shared" si="48" ref="L64:L76">K64-J64</f>
        <v>74.67599999999999</v>
      </c>
      <c r="M64" s="41">
        <f aca="true" t="shared" si="49" ref="M64:M76">((E64*56*0.0125)-(C64*56*0.01))/134</f>
        <v>0.5572835820895522</v>
      </c>
      <c r="N64" s="49">
        <f aca="true" t="shared" si="50" ref="N64:N76">C64</f>
        <v>95.4</v>
      </c>
      <c r="O64" s="63">
        <f aca="true" t="shared" si="51" ref="O64:O76">D64/(MAX(D64:E64))</f>
        <v>0.8688524590163934</v>
      </c>
      <c r="P64" s="57">
        <f aca="true" t="shared" si="52" ref="P64:P76">(E64*56*0.0125)/134</f>
        <v>0.9559701492537312</v>
      </c>
      <c r="Q64" s="69">
        <v>134</v>
      </c>
      <c r="R64" s="69">
        <f aca="true" t="shared" si="53" ref="R64:R76">E64/C64</f>
        <v>1.9182389937106916</v>
      </c>
      <c r="S64" s="69">
        <f>R63*(C63*56*1.12/1000)*H63</f>
        <v>10.411520000000003</v>
      </c>
    </row>
    <row r="65" spans="1:19" ht="12.75">
      <c r="A65" s="73" t="s">
        <v>51</v>
      </c>
      <c r="B65" s="1">
        <v>1988</v>
      </c>
      <c r="C65" s="55">
        <v>103</v>
      </c>
      <c r="D65" s="55">
        <v>135</v>
      </c>
      <c r="E65" s="55">
        <v>135</v>
      </c>
      <c r="H65" s="1">
        <f t="shared" si="44"/>
        <v>0.762962962962963</v>
      </c>
      <c r="I65" s="27">
        <f t="shared" si="45"/>
        <v>135</v>
      </c>
      <c r="J65" s="25">
        <f t="shared" si="46"/>
        <v>57.68</v>
      </c>
      <c r="K65" s="34">
        <f t="shared" si="47"/>
        <v>94.5</v>
      </c>
      <c r="L65" s="37">
        <f t="shared" si="48"/>
        <v>36.82</v>
      </c>
      <c r="M65" s="41">
        <f t="shared" si="49"/>
        <v>0.2747761194029851</v>
      </c>
      <c r="N65" s="49">
        <f t="shared" si="50"/>
        <v>103</v>
      </c>
      <c r="O65" s="63">
        <f t="shared" si="51"/>
        <v>1</v>
      </c>
      <c r="P65" s="57">
        <f t="shared" si="52"/>
        <v>0.7052238805970149</v>
      </c>
      <c r="Q65" s="69">
        <v>134</v>
      </c>
      <c r="R65" s="69">
        <f t="shared" si="53"/>
        <v>1.3106796116504855</v>
      </c>
      <c r="S65" s="69">
        <f aca="true" t="shared" si="54" ref="S65:S76">R64*(C64*56*1.12/1000)*H64</f>
        <v>5.983488000000001</v>
      </c>
    </row>
    <row r="66" spans="1:19" ht="12.75">
      <c r="A66" s="73" t="s">
        <v>51</v>
      </c>
      <c r="B66" s="1">
        <v>1995</v>
      </c>
      <c r="C66" s="55">
        <v>92.1825</v>
      </c>
      <c r="D66" s="55">
        <v>154.01</v>
      </c>
      <c r="E66" s="55">
        <v>178.53</v>
      </c>
      <c r="H66" s="1">
        <f t="shared" si="44"/>
        <v>0.5163417912955806</v>
      </c>
      <c r="I66" s="27">
        <f t="shared" si="45"/>
        <v>178.53</v>
      </c>
      <c r="J66" s="25">
        <f t="shared" si="46"/>
        <v>51.62220000000001</v>
      </c>
      <c r="K66" s="34">
        <f t="shared" si="47"/>
        <v>124.971</v>
      </c>
      <c r="L66" s="37">
        <f t="shared" si="48"/>
        <v>73.3488</v>
      </c>
      <c r="M66" s="41">
        <f t="shared" si="49"/>
        <v>0.547379104477612</v>
      </c>
      <c r="N66" s="49">
        <f t="shared" si="50"/>
        <v>92.1825</v>
      </c>
      <c r="O66" s="63">
        <f t="shared" si="51"/>
        <v>0.8626561362236038</v>
      </c>
      <c r="P66" s="57">
        <f t="shared" si="52"/>
        <v>0.9326194029850746</v>
      </c>
      <c r="Q66" s="69">
        <v>134</v>
      </c>
      <c r="R66" s="69">
        <f t="shared" si="53"/>
        <v>1.9367016516150029</v>
      </c>
      <c r="S66" s="69">
        <f t="shared" si="54"/>
        <v>6.460160000000001</v>
      </c>
    </row>
    <row r="67" spans="1:19" ht="12.75">
      <c r="A67" s="73" t="s">
        <v>51</v>
      </c>
      <c r="B67" s="1">
        <v>1996</v>
      </c>
      <c r="C67" s="55">
        <v>74.8175</v>
      </c>
      <c r="D67" s="55">
        <v>124</v>
      </c>
      <c r="E67" s="55">
        <v>148.825</v>
      </c>
      <c r="H67" s="1">
        <f t="shared" si="44"/>
        <v>0.5027213169830338</v>
      </c>
      <c r="I67" s="27">
        <f t="shared" si="45"/>
        <v>148.825</v>
      </c>
      <c r="J67" s="25">
        <f t="shared" si="46"/>
        <v>41.8978</v>
      </c>
      <c r="K67" s="34">
        <f t="shared" si="47"/>
        <v>104.1775</v>
      </c>
      <c r="L67" s="37">
        <f t="shared" si="48"/>
        <v>62.2797</v>
      </c>
      <c r="M67" s="41">
        <f t="shared" si="49"/>
        <v>0.4647738805970149</v>
      </c>
      <c r="N67" s="49">
        <f t="shared" si="50"/>
        <v>74.8175</v>
      </c>
      <c r="O67" s="63">
        <f t="shared" si="51"/>
        <v>0.8331933478918193</v>
      </c>
      <c r="P67" s="57">
        <f t="shared" si="52"/>
        <v>0.7774440298507462</v>
      </c>
      <c r="Q67" s="69">
        <v>134</v>
      </c>
      <c r="R67" s="69">
        <f t="shared" si="53"/>
        <v>1.9891736558960136</v>
      </c>
      <c r="S67" s="69">
        <f t="shared" si="54"/>
        <v>5.7816864</v>
      </c>
    </row>
    <row r="68" spans="1:19" ht="12.75">
      <c r="A68" s="73" t="s">
        <v>51</v>
      </c>
      <c r="B68" s="1">
        <v>1997</v>
      </c>
      <c r="C68" s="55">
        <v>72.6925</v>
      </c>
      <c r="D68" s="55">
        <v>142.425</v>
      </c>
      <c r="E68" s="55">
        <v>181.16</v>
      </c>
      <c r="H68" s="1">
        <f t="shared" si="44"/>
        <v>0.4012613159637889</v>
      </c>
      <c r="I68" s="27">
        <f t="shared" si="45"/>
        <v>181.16</v>
      </c>
      <c r="J68" s="25">
        <f t="shared" si="46"/>
        <v>40.7078</v>
      </c>
      <c r="K68" s="34">
        <f t="shared" si="47"/>
        <v>126.812</v>
      </c>
      <c r="L68" s="37">
        <f t="shared" si="48"/>
        <v>86.10419999999999</v>
      </c>
      <c r="M68" s="41">
        <f t="shared" si="49"/>
        <v>0.6425686567164178</v>
      </c>
      <c r="N68" s="49">
        <f t="shared" si="50"/>
        <v>72.6925</v>
      </c>
      <c r="O68" s="63">
        <f t="shared" si="51"/>
        <v>0.7861834842128506</v>
      </c>
      <c r="P68" s="57">
        <f t="shared" si="52"/>
        <v>0.9463582089552238</v>
      </c>
      <c r="Q68" s="69">
        <v>134</v>
      </c>
      <c r="R68" s="69">
        <f t="shared" si="53"/>
        <v>2.492141555181071</v>
      </c>
      <c r="S68" s="69">
        <f t="shared" si="54"/>
        <v>4.6925536</v>
      </c>
    </row>
    <row r="69" spans="1:19" ht="12.75">
      <c r="A69" s="73" t="s">
        <v>51</v>
      </c>
      <c r="B69" s="1">
        <v>1998</v>
      </c>
      <c r="C69" s="55">
        <v>73.22</v>
      </c>
      <c r="D69" s="55">
        <v>133.5</v>
      </c>
      <c r="E69" s="55">
        <v>164.115</v>
      </c>
      <c r="H69" s="1">
        <f t="shared" si="44"/>
        <v>0.4461505651524845</v>
      </c>
      <c r="I69" s="27">
        <f t="shared" si="45"/>
        <v>164.115</v>
      </c>
      <c r="J69" s="25">
        <f t="shared" si="46"/>
        <v>41.0032</v>
      </c>
      <c r="K69" s="34">
        <f t="shared" si="47"/>
        <v>114.88050000000001</v>
      </c>
      <c r="L69" s="37">
        <f t="shared" si="48"/>
        <v>73.87730000000002</v>
      </c>
      <c r="M69" s="41">
        <f t="shared" si="49"/>
        <v>0.5513231343283583</v>
      </c>
      <c r="N69" s="49">
        <f t="shared" si="50"/>
        <v>73.22</v>
      </c>
      <c r="O69" s="63">
        <f t="shared" si="51"/>
        <v>0.8134539804405447</v>
      </c>
      <c r="P69" s="57">
        <f t="shared" si="52"/>
        <v>0.8573171641791045</v>
      </c>
      <c r="Q69" s="69">
        <v>134</v>
      </c>
      <c r="R69" s="69">
        <f t="shared" si="53"/>
        <v>2.241395793499044</v>
      </c>
      <c r="S69" s="69">
        <f t="shared" si="54"/>
        <v>4.5592736</v>
      </c>
    </row>
    <row r="70" spans="1:19" ht="12.75">
      <c r="A70" s="73" t="s">
        <v>51</v>
      </c>
      <c r="B70" s="1">
        <v>1999</v>
      </c>
      <c r="C70" s="55">
        <v>93.1</v>
      </c>
      <c r="D70" s="55">
        <v>135.15</v>
      </c>
      <c r="E70" s="55">
        <v>154.35</v>
      </c>
      <c r="H70" s="1">
        <f t="shared" si="44"/>
        <v>0.6031746031746031</v>
      </c>
      <c r="I70" s="27">
        <f t="shared" si="45"/>
        <v>154.35</v>
      </c>
      <c r="J70" s="25">
        <f t="shared" si="46"/>
        <v>52.135999999999996</v>
      </c>
      <c r="K70" s="34">
        <f t="shared" si="47"/>
        <v>108.04500000000002</v>
      </c>
      <c r="L70" s="37">
        <f t="shared" si="48"/>
        <v>55.90900000000002</v>
      </c>
      <c r="M70" s="41">
        <f t="shared" si="49"/>
        <v>0.41723134328358225</v>
      </c>
      <c r="N70" s="49">
        <f t="shared" si="50"/>
        <v>93.1</v>
      </c>
      <c r="O70" s="63">
        <f t="shared" si="51"/>
        <v>0.8756073858114675</v>
      </c>
      <c r="P70" s="57">
        <f t="shared" si="52"/>
        <v>0.8063059701492539</v>
      </c>
      <c r="Q70" s="69">
        <v>134</v>
      </c>
      <c r="R70" s="69">
        <f t="shared" si="53"/>
        <v>1.6578947368421053</v>
      </c>
      <c r="S70" s="69">
        <f t="shared" si="54"/>
        <v>4.5923584</v>
      </c>
    </row>
    <row r="71" spans="1:19" ht="12.75">
      <c r="A71" s="73" t="s">
        <v>51</v>
      </c>
      <c r="B71" s="1">
        <v>2000</v>
      </c>
      <c r="C71" s="55">
        <v>78.75</v>
      </c>
      <c r="D71" s="55">
        <v>144.05</v>
      </c>
      <c r="E71" s="55">
        <v>163.85</v>
      </c>
      <c r="H71" s="1">
        <f t="shared" si="44"/>
        <v>0.48062252059810806</v>
      </c>
      <c r="I71" s="27">
        <f t="shared" si="45"/>
        <v>163.85</v>
      </c>
      <c r="J71" s="25">
        <f t="shared" si="46"/>
        <v>44.1</v>
      </c>
      <c r="K71" s="34">
        <f t="shared" si="47"/>
        <v>114.69500000000001</v>
      </c>
      <c r="L71" s="37">
        <f t="shared" si="48"/>
        <v>70.595</v>
      </c>
      <c r="M71" s="41">
        <f t="shared" si="49"/>
        <v>0.5268283582089552</v>
      </c>
      <c r="N71" s="49">
        <f t="shared" si="50"/>
        <v>78.75</v>
      </c>
      <c r="O71" s="63">
        <f t="shared" si="51"/>
        <v>0.8791577662496186</v>
      </c>
      <c r="P71" s="57">
        <f t="shared" si="52"/>
        <v>0.8559328358208956</v>
      </c>
      <c r="Q71" s="69">
        <v>134</v>
      </c>
      <c r="R71" s="69">
        <f t="shared" si="53"/>
        <v>2.0806349206349206</v>
      </c>
      <c r="S71" s="69">
        <f t="shared" si="54"/>
        <v>5.839232</v>
      </c>
    </row>
    <row r="72" spans="1:19" ht="12.75">
      <c r="A72" s="73" t="s">
        <v>51</v>
      </c>
      <c r="B72" s="1">
        <v>2001</v>
      </c>
      <c r="C72" s="55">
        <v>79.825</v>
      </c>
      <c r="D72" s="55">
        <v>181.4</v>
      </c>
      <c r="E72" s="55">
        <v>218.75</v>
      </c>
      <c r="H72" s="1">
        <f t="shared" si="44"/>
        <v>0.36491428571428575</v>
      </c>
      <c r="I72" s="27">
        <f t="shared" si="45"/>
        <v>218.75</v>
      </c>
      <c r="J72" s="25">
        <f t="shared" si="46"/>
        <v>44.702</v>
      </c>
      <c r="K72" s="34">
        <f t="shared" si="47"/>
        <v>153.125</v>
      </c>
      <c r="L72" s="37">
        <f t="shared" si="48"/>
        <v>108.423</v>
      </c>
      <c r="M72" s="41">
        <f t="shared" si="49"/>
        <v>0.8091268656716418</v>
      </c>
      <c r="N72" s="49">
        <f t="shared" si="50"/>
        <v>79.825</v>
      </c>
      <c r="O72" s="63">
        <f t="shared" si="51"/>
        <v>0.8292571428571429</v>
      </c>
      <c r="P72" s="57">
        <f t="shared" si="52"/>
        <v>1.142723880597015</v>
      </c>
      <c r="Q72" s="69">
        <v>134</v>
      </c>
      <c r="R72" s="69">
        <f t="shared" si="53"/>
        <v>2.7403695584090197</v>
      </c>
      <c r="S72" s="69">
        <f t="shared" si="54"/>
        <v>4.939200000000001</v>
      </c>
    </row>
    <row r="73" spans="1:19" ht="12.75">
      <c r="A73" s="73" t="s">
        <v>51</v>
      </c>
      <c r="B73" s="1">
        <v>2002</v>
      </c>
      <c r="C73" s="55">
        <v>111.35</v>
      </c>
      <c r="D73" s="55">
        <v>154.7</v>
      </c>
      <c r="E73" s="55">
        <v>197.8</v>
      </c>
      <c r="H73" s="1">
        <f t="shared" si="44"/>
        <v>0.5629423660262891</v>
      </c>
      <c r="I73" s="27">
        <f t="shared" si="45"/>
        <v>197.8</v>
      </c>
      <c r="J73" s="25">
        <f t="shared" si="46"/>
        <v>62.355999999999995</v>
      </c>
      <c r="K73" s="34">
        <f t="shared" si="47"/>
        <v>138.46</v>
      </c>
      <c r="L73" s="37">
        <f t="shared" si="48"/>
        <v>76.10400000000001</v>
      </c>
      <c r="M73" s="41">
        <f t="shared" si="49"/>
        <v>0.5679402985074627</v>
      </c>
      <c r="N73" s="49">
        <f t="shared" si="50"/>
        <v>111.35</v>
      </c>
      <c r="O73" s="63">
        <f t="shared" si="51"/>
        <v>0.7821031344792719</v>
      </c>
      <c r="P73" s="57">
        <f t="shared" si="52"/>
        <v>1.0332835820895523</v>
      </c>
      <c r="Q73" s="69">
        <v>134</v>
      </c>
      <c r="R73" s="69">
        <f t="shared" si="53"/>
        <v>1.7763807813201618</v>
      </c>
      <c r="S73" s="69">
        <f t="shared" si="54"/>
        <v>5.006624</v>
      </c>
    </row>
    <row r="74" spans="1:19" ht="12.75">
      <c r="A74" s="73" t="s">
        <v>51</v>
      </c>
      <c r="B74" s="1">
        <v>2003</v>
      </c>
      <c r="C74" s="55">
        <v>82.725</v>
      </c>
      <c r="D74" s="55">
        <v>140.35</v>
      </c>
      <c r="E74" s="55">
        <v>207.65</v>
      </c>
      <c r="H74" s="1">
        <f t="shared" si="44"/>
        <v>0.39838670840356366</v>
      </c>
      <c r="I74" s="27">
        <f t="shared" si="45"/>
        <v>207.65</v>
      </c>
      <c r="J74" s="25">
        <f t="shared" si="46"/>
        <v>46.32599999999999</v>
      </c>
      <c r="K74" s="34">
        <f t="shared" si="47"/>
        <v>145.355</v>
      </c>
      <c r="L74" s="37">
        <f t="shared" si="48"/>
        <v>99.029</v>
      </c>
      <c r="M74" s="41">
        <f t="shared" si="49"/>
        <v>0.7390223880597014</v>
      </c>
      <c r="N74" s="49">
        <f t="shared" si="50"/>
        <v>82.725</v>
      </c>
      <c r="O74" s="63">
        <f t="shared" si="51"/>
        <v>0.6758969419696604</v>
      </c>
      <c r="P74" s="57">
        <f t="shared" si="52"/>
        <v>1.0847388059701493</v>
      </c>
      <c r="Q74" s="69">
        <v>134</v>
      </c>
      <c r="R74" s="69">
        <f t="shared" si="53"/>
        <v>2.5101239045028714</v>
      </c>
      <c r="S74" s="69">
        <f t="shared" si="54"/>
        <v>6.983872</v>
      </c>
    </row>
    <row r="75" spans="1:19" ht="12.75">
      <c r="A75" s="73" t="s">
        <v>51</v>
      </c>
      <c r="B75" s="1">
        <v>2004</v>
      </c>
      <c r="C75" s="55">
        <v>76.05</v>
      </c>
      <c r="D75" s="55">
        <v>112.7</v>
      </c>
      <c r="E75" s="55">
        <v>175.8</v>
      </c>
      <c r="H75" s="1">
        <f t="shared" si="44"/>
        <v>0.43259385665529004</v>
      </c>
      <c r="I75" s="27">
        <f t="shared" si="45"/>
        <v>175.8</v>
      </c>
      <c r="J75" s="25">
        <f t="shared" si="46"/>
        <v>42.588</v>
      </c>
      <c r="K75" s="34">
        <f t="shared" si="47"/>
        <v>123.06000000000002</v>
      </c>
      <c r="L75" s="37">
        <f t="shared" si="48"/>
        <v>80.47200000000001</v>
      </c>
      <c r="M75" s="41">
        <f t="shared" si="49"/>
        <v>0.6005373134328359</v>
      </c>
      <c r="N75" s="49">
        <f t="shared" si="50"/>
        <v>76.05</v>
      </c>
      <c r="O75" s="63">
        <f t="shared" si="51"/>
        <v>0.6410693970420933</v>
      </c>
      <c r="P75" s="57">
        <f t="shared" si="52"/>
        <v>0.918358208955224</v>
      </c>
      <c r="Q75" s="69">
        <v>134</v>
      </c>
      <c r="R75" s="69">
        <f t="shared" si="53"/>
        <v>2.3116370808678504</v>
      </c>
      <c r="S75" s="69">
        <f t="shared" si="54"/>
        <v>5.188512</v>
      </c>
    </row>
    <row r="76" spans="1:19" ht="12.75">
      <c r="A76" s="73" t="s">
        <v>51</v>
      </c>
      <c r="B76" s="1">
        <v>2005</v>
      </c>
      <c r="C76" s="55">
        <v>77.275</v>
      </c>
      <c r="D76" s="55">
        <v>122.05</v>
      </c>
      <c r="E76" s="55">
        <v>170.05</v>
      </c>
      <c r="H76" s="1">
        <f t="shared" si="44"/>
        <v>0.4544251690679212</v>
      </c>
      <c r="I76" s="27">
        <f t="shared" si="45"/>
        <v>170.05</v>
      </c>
      <c r="J76" s="25">
        <f t="shared" si="46"/>
        <v>43.27400000000001</v>
      </c>
      <c r="K76" s="34">
        <f t="shared" si="47"/>
        <v>119.03500000000003</v>
      </c>
      <c r="L76" s="37">
        <f t="shared" si="48"/>
        <v>75.76100000000002</v>
      </c>
      <c r="M76" s="41">
        <f t="shared" si="49"/>
        <v>0.5653805970149256</v>
      </c>
      <c r="N76" s="49">
        <f t="shared" si="50"/>
        <v>77.275</v>
      </c>
      <c r="O76" s="63">
        <f t="shared" si="51"/>
        <v>0.7177300793884152</v>
      </c>
      <c r="P76" s="57">
        <f t="shared" si="52"/>
        <v>0.8883208955223882</v>
      </c>
      <c r="Q76" s="69">
        <v>134</v>
      </c>
      <c r="R76" s="69">
        <f t="shared" si="53"/>
        <v>2.2005823358136527</v>
      </c>
      <c r="S76" s="69">
        <f t="shared" si="54"/>
        <v>4.769856000000001</v>
      </c>
    </row>
    <row r="77" spans="1:23" ht="12.75">
      <c r="A77" s="76" t="s">
        <v>52</v>
      </c>
      <c r="B77" s="1">
        <v>1968</v>
      </c>
      <c r="C77" s="1">
        <v>78</v>
      </c>
      <c r="D77" s="1">
        <v>117</v>
      </c>
      <c r="E77" s="1">
        <v>131</v>
      </c>
      <c r="H77" s="1">
        <f>C77/(MAX(C77:D77))</f>
        <v>0.6666666666666666</v>
      </c>
      <c r="I77" s="27">
        <f aca="true" t="shared" si="55" ref="I77:I91">MAX(C77:E77)</f>
        <v>131</v>
      </c>
      <c r="J77" s="25">
        <f aca="true" t="shared" si="56" ref="J77:J91">(C77*56*0.01)</f>
        <v>43.68</v>
      </c>
      <c r="K77" s="34">
        <f>D77*56*0.0125</f>
        <v>81.9</v>
      </c>
      <c r="L77" s="37">
        <f aca="true" t="shared" si="57" ref="L77:L91">K77-J77</f>
        <v>38.220000000000006</v>
      </c>
      <c r="M77" s="41">
        <f aca="true" t="shared" si="58" ref="M77:M91">((D77*56*0.0125)-(C77*56*0.01))/125</f>
        <v>0.30576000000000003</v>
      </c>
      <c r="N77" s="49">
        <f aca="true" t="shared" si="59" ref="N77:N91">C77</f>
        <v>78</v>
      </c>
      <c r="O77" s="63">
        <f aca="true" t="shared" si="60" ref="O77:O91">D77/(MAX(D77:E77))</f>
        <v>0.8931297709923665</v>
      </c>
      <c r="P77" s="57">
        <f>(D77*56*0.0125)/125</f>
        <v>0.6552</v>
      </c>
      <c r="Q77" s="69">
        <v>125</v>
      </c>
      <c r="R77" s="69">
        <f>D77/C77</f>
        <v>1.5</v>
      </c>
      <c r="U77" s="2">
        <v>0</v>
      </c>
      <c r="V77" s="79">
        <v>125</v>
      </c>
      <c r="W77" s="2">
        <v>250</v>
      </c>
    </row>
    <row r="78" spans="1:19" ht="12.75">
      <c r="A78" s="76" t="s">
        <v>52</v>
      </c>
      <c r="B78" s="1">
        <v>1969</v>
      </c>
      <c r="C78" s="1">
        <v>49</v>
      </c>
      <c r="D78" s="1">
        <v>126</v>
      </c>
      <c r="E78" s="1">
        <v>128</v>
      </c>
      <c r="H78" s="1">
        <f aca="true" t="shared" si="61" ref="H78:H113">C78/(MAX(C78:D78))</f>
        <v>0.3888888888888889</v>
      </c>
      <c r="I78" s="27">
        <f t="shared" si="55"/>
        <v>128</v>
      </c>
      <c r="J78" s="25">
        <f t="shared" si="56"/>
        <v>27.44</v>
      </c>
      <c r="K78" s="34">
        <f aca="true" t="shared" si="62" ref="K78:K113">D78*56*0.0125</f>
        <v>88.2</v>
      </c>
      <c r="L78" s="37">
        <f t="shared" si="57"/>
        <v>60.760000000000005</v>
      </c>
      <c r="M78" s="41">
        <f t="shared" si="58"/>
        <v>0.48608000000000007</v>
      </c>
      <c r="N78" s="49">
        <f t="shared" si="59"/>
        <v>49</v>
      </c>
      <c r="O78" s="63">
        <f t="shared" si="60"/>
        <v>0.984375</v>
      </c>
      <c r="P78" s="57">
        <f aca="true" t="shared" si="63" ref="P78:P113">(D78*56*0.0125)/125</f>
        <v>0.7056</v>
      </c>
      <c r="Q78" s="69">
        <v>125</v>
      </c>
      <c r="R78" s="69">
        <f aca="true" t="shared" si="64" ref="R78:R113">D78/C78</f>
        <v>2.5714285714285716</v>
      </c>
      <c r="S78" s="69">
        <f>R77*(C77*56*1.12/1000)*H77</f>
        <v>4.8921600000000005</v>
      </c>
    </row>
    <row r="79" spans="1:19" ht="12.75">
      <c r="A79" s="76" t="s">
        <v>52</v>
      </c>
      <c r="B79" s="1">
        <v>1970</v>
      </c>
      <c r="C79" s="1">
        <v>49</v>
      </c>
      <c r="D79" s="1">
        <v>88</v>
      </c>
      <c r="E79" s="1">
        <v>110</v>
      </c>
      <c r="H79" s="1">
        <f t="shared" si="61"/>
        <v>0.5568181818181818</v>
      </c>
      <c r="I79" s="27">
        <f t="shared" si="55"/>
        <v>110</v>
      </c>
      <c r="J79" s="25">
        <f t="shared" si="56"/>
        <v>27.44</v>
      </c>
      <c r="K79" s="34">
        <f t="shared" si="62"/>
        <v>61.6</v>
      </c>
      <c r="L79" s="37">
        <f t="shared" si="57"/>
        <v>34.16</v>
      </c>
      <c r="M79" s="41">
        <f t="shared" si="58"/>
        <v>0.27327999999999997</v>
      </c>
      <c r="N79" s="49">
        <f t="shared" si="59"/>
        <v>49</v>
      </c>
      <c r="O79" s="63">
        <f t="shared" si="60"/>
        <v>0.8</v>
      </c>
      <c r="P79" s="57">
        <f t="shared" si="63"/>
        <v>0.4928</v>
      </c>
      <c r="Q79" s="69">
        <v>125</v>
      </c>
      <c r="R79" s="69">
        <f t="shared" si="64"/>
        <v>1.7959183673469388</v>
      </c>
      <c r="S79" s="69">
        <f aca="true" t="shared" si="65" ref="S79:S113">R78*(C78*56*1.12/1000)*H78</f>
        <v>3.07328</v>
      </c>
    </row>
    <row r="80" spans="1:19" ht="12.75">
      <c r="A80" s="76" t="s">
        <v>52</v>
      </c>
      <c r="B80" s="1">
        <v>1971</v>
      </c>
      <c r="C80" s="1">
        <v>43</v>
      </c>
      <c r="D80" s="1">
        <v>129</v>
      </c>
      <c r="E80" s="1">
        <v>141</v>
      </c>
      <c r="H80" s="1">
        <f t="shared" si="61"/>
        <v>0.3333333333333333</v>
      </c>
      <c r="I80" s="27">
        <f t="shared" si="55"/>
        <v>141</v>
      </c>
      <c r="J80" s="25">
        <f t="shared" si="56"/>
        <v>24.080000000000002</v>
      </c>
      <c r="K80" s="34">
        <f t="shared" si="62"/>
        <v>90.30000000000001</v>
      </c>
      <c r="L80" s="37">
        <f t="shared" si="57"/>
        <v>66.22000000000001</v>
      </c>
      <c r="M80" s="41">
        <f t="shared" si="58"/>
        <v>0.5297600000000001</v>
      </c>
      <c r="N80" s="49">
        <f t="shared" si="59"/>
        <v>43</v>
      </c>
      <c r="O80" s="63">
        <f t="shared" si="60"/>
        <v>0.9148936170212766</v>
      </c>
      <c r="P80" s="57">
        <f t="shared" si="63"/>
        <v>0.7224</v>
      </c>
      <c r="Q80" s="69">
        <v>125</v>
      </c>
      <c r="R80" s="69">
        <f t="shared" si="64"/>
        <v>3</v>
      </c>
      <c r="S80" s="69">
        <f t="shared" si="65"/>
        <v>3.0732799999999996</v>
      </c>
    </row>
    <row r="81" spans="1:19" ht="12.75">
      <c r="A81" s="76" t="s">
        <v>52</v>
      </c>
      <c r="B81" s="1">
        <v>1972</v>
      </c>
      <c r="C81" s="1">
        <v>48</v>
      </c>
      <c r="D81" s="1">
        <v>94</v>
      </c>
      <c r="E81" s="1">
        <v>95</v>
      </c>
      <c r="H81" s="1">
        <f t="shared" si="61"/>
        <v>0.5106382978723404</v>
      </c>
      <c r="I81" s="27">
        <f t="shared" si="55"/>
        <v>95</v>
      </c>
      <c r="J81" s="25">
        <f t="shared" si="56"/>
        <v>26.88</v>
      </c>
      <c r="K81" s="34">
        <f t="shared" si="62"/>
        <v>65.8</v>
      </c>
      <c r="L81" s="37">
        <f t="shared" si="57"/>
        <v>38.92</v>
      </c>
      <c r="M81" s="41">
        <f t="shared" si="58"/>
        <v>0.31136</v>
      </c>
      <c r="N81" s="49">
        <f t="shared" si="59"/>
        <v>48</v>
      </c>
      <c r="O81" s="63">
        <f t="shared" si="60"/>
        <v>0.9894736842105263</v>
      </c>
      <c r="P81" s="57">
        <f t="shared" si="63"/>
        <v>0.5264</v>
      </c>
      <c r="Q81" s="69">
        <v>125</v>
      </c>
      <c r="R81" s="69">
        <f t="shared" si="64"/>
        <v>1.9583333333333333</v>
      </c>
      <c r="S81" s="69">
        <f t="shared" si="65"/>
        <v>2.69696</v>
      </c>
    </row>
    <row r="82" spans="1:19" ht="12.75">
      <c r="A82" s="76" t="s">
        <v>52</v>
      </c>
      <c r="B82" s="1">
        <v>1973</v>
      </c>
      <c r="C82" s="1">
        <v>95</v>
      </c>
      <c r="D82" s="1">
        <v>141</v>
      </c>
      <c r="E82" s="1">
        <v>140</v>
      </c>
      <c r="H82" s="1">
        <f t="shared" si="61"/>
        <v>0.6737588652482269</v>
      </c>
      <c r="I82" s="27">
        <f t="shared" si="55"/>
        <v>141</v>
      </c>
      <c r="J82" s="25">
        <f t="shared" si="56"/>
        <v>53.2</v>
      </c>
      <c r="K82" s="34">
        <f t="shared" si="62"/>
        <v>98.7</v>
      </c>
      <c r="L82" s="37">
        <f t="shared" si="57"/>
        <v>45.5</v>
      </c>
      <c r="M82" s="41">
        <f t="shared" si="58"/>
        <v>0.364</v>
      </c>
      <c r="N82" s="49">
        <f t="shared" si="59"/>
        <v>95</v>
      </c>
      <c r="O82" s="63">
        <f t="shared" si="60"/>
        <v>1</v>
      </c>
      <c r="P82" s="57">
        <f t="shared" si="63"/>
        <v>0.7896</v>
      </c>
      <c r="Q82" s="69">
        <v>125</v>
      </c>
      <c r="R82" s="69">
        <f t="shared" si="64"/>
        <v>1.4842105263157894</v>
      </c>
      <c r="S82" s="69">
        <f t="shared" si="65"/>
        <v>3.01056</v>
      </c>
    </row>
    <row r="83" spans="1:19" ht="12.75">
      <c r="A83" s="76" t="s">
        <v>52</v>
      </c>
      <c r="B83" s="1">
        <v>1974</v>
      </c>
      <c r="C83" s="1">
        <v>38</v>
      </c>
      <c r="D83" s="1">
        <v>80</v>
      </c>
      <c r="E83" s="1">
        <v>84</v>
      </c>
      <c r="H83" s="1">
        <f t="shared" si="61"/>
        <v>0.475</v>
      </c>
      <c r="I83" s="27">
        <f t="shared" si="55"/>
        <v>84</v>
      </c>
      <c r="J83" s="25">
        <f t="shared" si="56"/>
        <v>21.28</v>
      </c>
      <c r="K83" s="34">
        <f t="shared" si="62"/>
        <v>56</v>
      </c>
      <c r="L83" s="37">
        <f t="shared" si="57"/>
        <v>34.72</v>
      </c>
      <c r="M83" s="41">
        <f t="shared" si="58"/>
        <v>0.27776</v>
      </c>
      <c r="N83" s="49">
        <f t="shared" si="59"/>
        <v>38</v>
      </c>
      <c r="O83" s="63">
        <f t="shared" si="60"/>
        <v>0.9523809523809523</v>
      </c>
      <c r="P83" s="57">
        <f t="shared" si="63"/>
        <v>0.448</v>
      </c>
      <c r="Q83" s="69">
        <v>125</v>
      </c>
      <c r="R83" s="69">
        <f t="shared" si="64"/>
        <v>2.1052631578947367</v>
      </c>
      <c r="S83" s="69">
        <f t="shared" si="65"/>
        <v>5.958399999999999</v>
      </c>
    </row>
    <row r="84" spans="1:19" ht="12.75">
      <c r="A84" s="76" t="s">
        <v>52</v>
      </c>
      <c r="B84" s="1">
        <v>1975</v>
      </c>
      <c r="C84" s="1">
        <v>64</v>
      </c>
      <c r="D84" s="1">
        <v>118</v>
      </c>
      <c r="E84" s="1">
        <v>128</v>
      </c>
      <c r="H84" s="1">
        <f t="shared" si="61"/>
        <v>0.5423728813559322</v>
      </c>
      <c r="I84" s="27">
        <f t="shared" si="55"/>
        <v>128</v>
      </c>
      <c r="J84" s="25">
        <f t="shared" si="56"/>
        <v>35.84</v>
      </c>
      <c r="K84" s="34">
        <f t="shared" si="62"/>
        <v>82.60000000000001</v>
      </c>
      <c r="L84" s="37">
        <f t="shared" si="57"/>
        <v>46.760000000000005</v>
      </c>
      <c r="M84" s="41">
        <f t="shared" si="58"/>
        <v>0.37408</v>
      </c>
      <c r="N84" s="49">
        <f t="shared" si="59"/>
        <v>64</v>
      </c>
      <c r="O84" s="63">
        <f t="shared" si="60"/>
        <v>0.921875</v>
      </c>
      <c r="P84" s="57">
        <f t="shared" si="63"/>
        <v>0.6608</v>
      </c>
      <c r="Q84" s="69">
        <v>125</v>
      </c>
      <c r="R84" s="69">
        <f t="shared" si="64"/>
        <v>1.84375</v>
      </c>
      <c r="S84" s="69">
        <f t="shared" si="65"/>
        <v>2.3833599999999997</v>
      </c>
    </row>
    <row r="85" spans="1:19" ht="12.75">
      <c r="A85" s="76" t="s">
        <v>52</v>
      </c>
      <c r="B85" s="1">
        <v>1976</v>
      </c>
      <c r="C85" s="1">
        <v>25</v>
      </c>
      <c r="D85" s="1">
        <v>58</v>
      </c>
      <c r="E85" s="1">
        <v>72</v>
      </c>
      <c r="H85" s="1">
        <f t="shared" si="61"/>
        <v>0.43103448275862066</v>
      </c>
      <c r="I85" s="27">
        <f t="shared" si="55"/>
        <v>72</v>
      </c>
      <c r="J85" s="25">
        <f t="shared" si="56"/>
        <v>14</v>
      </c>
      <c r="K85" s="34">
        <f t="shared" si="62"/>
        <v>40.6</v>
      </c>
      <c r="L85" s="37">
        <f t="shared" si="57"/>
        <v>26.6</v>
      </c>
      <c r="M85" s="41">
        <f t="shared" si="58"/>
        <v>0.21280000000000002</v>
      </c>
      <c r="N85" s="49">
        <f t="shared" si="59"/>
        <v>25</v>
      </c>
      <c r="O85" s="63">
        <f t="shared" si="60"/>
        <v>0.8055555555555556</v>
      </c>
      <c r="P85" s="57">
        <f t="shared" si="63"/>
        <v>0.32480000000000003</v>
      </c>
      <c r="Q85" s="69">
        <v>125</v>
      </c>
      <c r="R85" s="69">
        <f t="shared" si="64"/>
        <v>2.32</v>
      </c>
      <c r="S85" s="69">
        <f t="shared" si="65"/>
        <v>4.014080000000001</v>
      </c>
    </row>
    <row r="86" spans="1:19" ht="12.75">
      <c r="A86" s="76" t="s">
        <v>52</v>
      </c>
      <c r="B86" s="1">
        <v>1977</v>
      </c>
      <c r="C86" s="1">
        <v>30</v>
      </c>
      <c r="D86" s="1">
        <v>114</v>
      </c>
      <c r="E86" s="1">
        <v>120</v>
      </c>
      <c r="H86" s="1">
        <f t="shared" si="61"/>
        <v>0.2631578947368421</v>
      </c>
      <c r="I86" s="27">
        <f t="shared" si="55"/>
        <v>120</v>
      </c>
      <c r="J86" s="25">
        <f t="shared" si="56"/>
        <v>16.8</v>
      </c>
      <c r="K86" s="34">
        <f t="shared" si="62"/>
        <v>79.80000000000001</v>
      </c>
      <c r="L86" s="37">
        <f t="shared" si="57"/>
        <v>63.000000000000014</v>
      </c>
      <c r="M86" s="41">
        <f t="shared" si="58"/>
        <v>0.5040000000000001</v>
      </c>
      <c r="N86" s="49">
        <f t="shared" si="59"/>
        <v>30</v>
      </c>
      <c r="O86" s="63">
        <f t="shared" si="60"/>
        <v>0.95</v>
      </c>
      <c r="P86" s="57">
        <f t="shared" si="63"/>
        <v>0.6384000000000001</v>
      </c>
      <c r="Q86" s="69">
        <v>125</v>
      </c>
      <c r="R86" s="69">
        <f t="shared" si="64"/>
        <v>3.8</v>
      </c>
      <c r="S86" s="69">
        <f t="shared" si="65"/>
        <v>1.568</v>
      </c>
    </row>
    <row r="87" spans="1:19" ht="12.75">
      <c r="A87" s="76" t="s">
        <v>52</v>
      </c>
      <c r="B87" s="1">
        <v>1978</v>
      </c>
      <c r="C87" s="1">
        <v>59</v>
      </c>
      <c r="D87" s="1">
        <v>127</v>
      </c>
      <c r="E87" s="1">
        <v>141</v>
      </c>
      <c r="H87" s="1">
        <f t="shared" si="61"/>
        <v>0.4645669291338583</v>
      </c>
      <c r="I87" s="27">
        <f t="shared" si="55"/>
        <v>141</v>
      </c>
      <c r="J87" s="25">
        <f t="shared" si="56"/>
        <v>33.04</v>
      </c>
      <c r="K87" s="34">
        <f t="shared" si="62"/>
        <v>88.9</v>
      </c>
      <c r="L87" s="37">
        <f t="shared" si="57"/>
        <v>55.86000000000001</v>
      </c>
      <c r="M87" s="41">
        <f t="shared" si="58"/>
        <v>0.44688000000000005</v>
      </c>
      <c r="N87" s="49">
        <f t="shared" si="59"/>
        <v>59</v>
      </c>
      <c r="O87" s="63">
        <f t="shared" si="60"/>
        <v>0.900709219858156</v>
      </c>
      <c r="P87" s="57">
        <f t="shared" si="63"/>
        <v>0.7112</v>
      </c>
      <c r="Q87" s="69">
        <v>125</v>
      </c>
      <c r="R87" s="69">
        <f t="shared" si="64"/>
        <v>2.152542372881356</v>
      </c>
      <c r="S87" s="69">
        <f t="shared" si="65"/>
        <v>1.8816</v>
      </c>
    </row>
    <row r="88" spans="1:19" ht="12.75">
      <c r="A88" s="76" t="s">
        <v>52</v>
      </c>
      <c r="B88" s="1">
        <v>1979</v>
      </c>
      <c r="C88" s="1">
        <v>73</v>
      </c>
      <c r="D88" s="1">
        <v>120</v>
      </c>
      <c r="E88" s="1">
        <v>130</v>
      </c>
      <c r="H88" s="1">
        <f t="shared" si="61"/>
        <v>0.6083333333333333</v>
      </c>
      <c r="I88" s="27">
        <f t="shared" si="55"/>
        <v>130</v>
      </c>
      <c r="J88" s="25">
        <f t="shared" si="56"/>
        <v>40.88</v>
      </c>
      <c r="K88" s="34">
        <f t="shared" si="62"/>
        <v>84</v>
      </c>
      <c r="L88" s="37">
        <f t="shared" si="57"/>
        <v>43.12</v>
      </c>
      <c r="M88" s="41">
        <f t="shared" si="58"/>
        <v>0.34496</v>
      </c>
      <c r="N88" s="49">
        <f t="shared" si="59"/>
        <v>73</v>
      </c>
      <c r="O88" s="63">
        <f t="shared" si="60"/>
        <v>0.9230769230769231</v>
      </c>
      <c r="P88" s="57">
        <f t="shared" si="63"/>
        <v>0.672</v>
      </c>
      <c r="Q88" s="69">
        <v>125</v>
      </c>
      <c r="R88" s="69">
        <f t="shared" si="64"/>
        <v>1.643835616438356</v>
      </c>
      <c r="S88" s="69">
        <f t="shared" si="65"/>
        <v>3.700480000000001</v>
      </c>
    </row>
    <row r="89" spans="1:19" ht="12.75">
      <c r="A89" s="76" t="s">
        <v>52</v>
      </c>
      <c r="B89" s="1">
        <v>1980</v>
      </c>
      <c r="C89" s="1">
        <v>57</v>
      </c>
      <c r="D89" s="1">
        <v>124</v>
      </c>
      <c r="E89" s="1">
        <v>135</v>
      </c>
      <c r="H89" s="1">
        <f t="shared" si="61"/>
        <v>0.4596774193548387</v>
      </c>
      <c r="I89" s="27">
        <f t="shared" si="55"/>
        <v>135</v>
      </c>
      <c r="J89" s="25">
        <f t="shared" si="56"/>
        <v>31.92</v>
      </c>
      <c r="K89" s="34">
        <f t="shared" si="62"/>
        <v>86.80000000000001</v>
      </c>
      <c r="L89" s="37">
        <f t="shared" si="57"/>
        <v>54.88000000000001</v>
      </c>
      <c r="M89" s="41">
        <f t="shared" si="58"/>
        <v>0.4390400000000001</v>
      </c>
      <c r="N89" s="49">
        <f t="shared" si="59"/>
        <v>57</v>
      </c>
      <c r="O89" s="63">
        <f t="shared" si="60"/>
        <v>0.9185185185185185</v>
      </c>
      <c r="P89" s="57">
        <f t="shared" si="63"/>
        <v>0.6944000000000001</v>
      </c>
      <c r="Q89" s="69">
        <v>125</v>
      </c>
      <c r="R89" s="69">
        <f t="shared" si="64"/>
        <v>2.175438596491228</v>
      </c>
      <c r="S89" s="69">
        <f t="shared" si="65"/>
        <v>4.57856</v>
      </c>
    </row>
    <row r="90" spans="1:19" ht="12.75">
      <c r="A90" s="76" t="s">
        <v>52</v>
      </c>
      <c r="B90" s="1">
        <v>1981</v>
      </c>
      <c r="C90" s="1">
        <v>121</v>
      </c>
      <c r="D90" s="1">
        <v>143</v>
      </c>
      <c r="E90" s="1">
        <v>134</v>
      </c>
      <c r="H90" s="1">
        <f t="shared" si="61"/>
        <v>0.8461538461538461</v>
      </c>
      <c r="I90" s="27">
        <f t="shared" si="55"/>
        <v>143</v>
      </c>
      <c r="J90" s="25">
        <f t="shared" si="56"/>
        <v>67.76</v>
      </c>
      <c r="K90" s="34">
        <f t="shared" si="62"/>
        <v>100.10000000000001</v>
      </c>
      <c r="L90" s="37">
        <f t="shared" si="57"/>
        <v>32.34</v>
      </c>
      <c r="M90" s="41">
        <f t="shared" si="58"/>
        <v>0.25872</v>
      </c>
      <c r="N90" s="49">
        <f t="shared" si="59"/>
        <v>121</v>
      </c>
      <c r="O90" s="63">
        <f t="shared" si="60"/>
        <v>1</v>
      </c>
      <c r="P90" s="57">
        <f t="shared" si="63"/>
        <v>0.8008000000000001</v>
      </c>
      <c r="Q90" s="69">
        <v>125</v>
      </c>
      <c r="R90" s="69">
        <f t="shared" si="64"/>
        <v>1.1818181818181819</v>
      </c>
      <c r="S90" s="69">
        <f t="shared" si="65"/>
        <v>3.5750400000000004</v>
      </c>
    </row>
    <row r="91" spans="1:19" ht="12.75">
      <c r="A91" s="76" t="s">
        <v>52</v>
      </c>
      <c r="B91" s="1">
        <v>1982</v>
      </c>
      <c r="C91" s="1">
        <v>104</v>
      </c>
      <c r="D91" s="1">
        <v>132</v>
      </c>
      <c r="E91" s="1">
        <v>139</v>
      </c>
      <c r="H91" s="1">
        <f t="shared" si="61"/>
        <v>0.7878787878787878</v>
      </c>
      <c r="I91" s="27">
        <f t="shared" si="55"/>
        <v>139</v>
      </c>
      <c r="J91" s="25">
        <f t="shared" si="56"/>
        <v>58.24</v>
      </c>
      <c r="K91" s="34">
        <f t="shared" si="62"/>
        <v>92.4</v>
      </c>
      <c r="L91" s="37">
        <f t="shared" si="57"/>
        <v>34.160000000000004</v>
      </c>
      <c r="M91" s="41">
        <f t="shared" si="58"/>
        <v>0.27328</v>
      </c>
      <c r="N91" s="49">
        <f t="shared" si="59"/>
        <v>104</v>
      </c>
      <c r="O91" s="63">
        <f t="shared" si="60"/>
        <v>0.9496402877697842</v>
      </c>
      <c r="P91" s="57">
        <f t="shared" si="63"/>
        <v>0.7392000000000001</v>
      </c>
      <c r="Q91" s="69">
        <v>125</v>
      </c>
      <c r="R91" s="69">
        <f t="shared" si="64"/>
        <v>1.2692307692307692</v>
      </c>
      <c r="S91" s="69">
        <f t="shared" si="65"/>
        <v>7.589120000000002</v>
      </c>
    </row>
    <row r="92" spans="1:19" ht="12.75">
      <c r="A92" s="76" t="s">
        <v>52</v>
      </c>
      <c r="B92" s="1">
        <v>1983</v>
      </c>
      <c r="C92" s="1">
        <v>33</v>
      </c>
      <c r="D92" s="1">
        <v>135</v>
      </c>
      <c r="E92" s="1">
        <v>126</v>
      </c>
      <c r="H92" s="1">
        <f t="shared" si="61"/>
        <v>0.24444444444444444</v>
      </c>
      <c r="I92" s="27">
        <f>MAX(C92:E92)</f>
        <v>135</v>
      </c>
      <c r="J92" s="25">
        <f>(C92*56*0.01)</f>
        <v>18.48</v>
      </c>
      <c r="K92" s="34">
        <f t="shared" si="62"/>
        <v>94.5</v>
      </c>
      <c r="L92" s="37">
        <f>K92-J92</f>
        <v>76.02</v>
      </c>
      <c r="M92" s="41">
        <f>((D92*56*0.0125)-(C92*56*0.01))/125</f>
        <v>0.6081599999999999</v>
      </c>
      <c r="N92" s="49">
        <f>C92</f>
        <v>33</v>
      </c>
      <c r="O92" s="63">
        <f>D92/(MAX(D92:E92))</f>
        <v>1</v>
      </c>
      <c r="P92" s="57">
        <f t="shared" si="63"/>
        <v>0.756</v>
      </c>
      <c r="Q92" s="69">
        <v>125</v>
      </c>
      <c r="R92" s="69">
        <f t="shared" si="64"/>
        <v>4.090909090909091</v>
      </c>
      <c r="S92" s="69">
        <f t="shared" si="65"/>
        <v>6.52288</v>
      </c>
    </row>
    <row r="93" spans="1:19" ht="12.75">
      <c r="A93" s="76" t="s">
        <v>52</v>
      </c>
      <c r="B93" s="1">
        <v>1984</v>
      </c>
      <c r="C93" s="1">
        <v>62</v>
      </c>
      <c r="D93" s="1">
        <v>141</v>
      </c>
      <c r="E93" s="1">
        <v>147</v>
      </c>
      <c r="H93" s="1">
        <f t="shared" si="61"/>
        <v>0.4397163120567376</v>
      </c>
      <c r="I93" s="27">
        <f aca="true" t="shared" si="66" ref="I93:I113">MAX(C93:E93)</f>
        <v>147</v>
      </c>
      <c r="J93" s="25">
        <f aca="true" t="shared" si="67" ref="J93:J113">(C93*56*0.01)</f>
        <v>34.72</v>
      </c>
      <c r="K93" s="34">
        <f t="shared" si="62"/>
        <v>98.7</v>
      </c>
      <c r="L93" s="37">
        <f aca="true" t="shared" si="68" ref="L93:L113">K93-J93</f>
        <v>63.980000000000004</v>
      </c>
      <c r="M93" s="41">
        <f aca="true" t="shared" si="69" ref="M93:M113">((D93*56*0.0125)-(C93*56*0.01))/125</f>
        <v>0.5118400000000001</v>
      </c>
      <c r="N93" s="49">
        <f aca="true" t="shared" si="70" ref="N93:N113">C93</f>
        <v>62</v>
      </c>
      <c r="O93" s="63">
        <f aca="true" t="shared" si="71" ref="O93:O112">D93/(MAX(D93:E93))</f>
        <v>0.9591836734693877</v>
      </c>
      <c r="P93" s="57">
        <f t="shared" si="63"/>
        <v>0.7896</v>
      </c>
      <c r="Q93" s="69">
        <v>125</v>
      </c>
      <c r="R93" s="69">
        <f t="shared" si="64"/>
        <v>2.274193548387097</v>
      </c>
      <c r="S93" s="69">
        <f t="shared" si="65"/>
        <v>2.06976</v>
      </c>
    </row>
    <row r="94" spans="1:19" ht="12.75">
      <c r="A94" s="76" t="s">
        <v>52</v>
      </c>
      <c r="B94" s="1">
        <v>1985</v>
      </c>
      <c r="C94" s="1">
        <v>89</v>
      </c>
      <c r="D94" s="1">
        <v>161</v>
      </c>
      <c r="E94" s="1">
        <v>155</v>
      </c>
      <c r="H94" s="1">
        <f t="shared" si="61"/>
        <v>0.5527950310559007</v>
      </c>
      <c r="I94" s="27">
        <f t="shared" si="66"/>
        <v>161</v>
      </c>
      <c r="J94" s="25">
        <f t="shared" si="67"/>
        <v>49.84</v>
      </c>
      <c r="K94" s="34">
        <f t="shared" si="62"/>
        <v>112.7</v>
      </c>
      <c r="L94" s="37">
        <f t="shared" si="68"/>
        <v>62.86</v>
      </c>
      <c r="M94" s="41">
        <f t="shared" si="69"/>
        <v>0.50288</v>
      </c>
      <c r="N94" s="49">
        <f t="shared" si="70"/>
        <v>89</v>
      </c>
      <c r="O94" s="63">
        <f t="shared" si="71"/>
        <v>1</v>
      </c>
      <c r="P94" s="57">
        <f t="shared" si="63"/>
        <v>0.9016000000000001</v>
      </c>
      <c r="Q94" s="69">
        <v>125</v>
      </c>
      <c r="R94" s="69">
        <f t="shared" si="64"/>
        <v>1.8089887640449438</v>
      </c>
      <c r="S94" s="69">
        <f t="shared" si="65"/>
        <v>3.888640000000001</v>
      </c>
    </row>
    <row r="95" spans="1:19" ht="12.75">
      <c r="A95" s="76" t="s">
        <v>52</v>
      </c>
      <c r="B95" s="1">
        <v>1986</v>
      </c>
      <c r="C95" s="1">
        <v>101</v>
      </c>
      <c r="D95" s="1">
        <v>205</v>
      </c>
      <c r="E95" s="1">
        <v>191</v>
      </c>
      <c r="H95" s="1">
        <f t="shared" si="61"/>
        <v>0.4926829268292683</v>
      </c>
      <c r="I95" s="27">
        <f t="shared" si="66"/>
        <v>205</v>
      </c>
      <c r="J95" s="25">
        <f t="shared" si="67"/>
        <v>56.56</v>
      </c>
      <c r="K95" s="34">
        <f t="shared" si="62"/>
        <v>143.5</v>
      </c>
      <c r="L95" s="37">
        <f t="shared" si="68"/>
        <v>86.94</v>
      </c>
      <c r="M95" s="41">
        <f t="shared" si="69"/>
        <v>0.69552</v>
      </c>
      <c r="N95" s="49">
        <f t="shared" si="70"/>
        <v>101</v>
      </c>
      <c r="O95" s="63">
        <f t="shared" si="71"/>
        <v>1</v>
      </c>
      <c r="P95" s="57">
        <f t="shared" si="63"/>
        <v>1.148</v>
      </c>
      <c r="Q95" s="69">
        <v>125</v>
      </c>
      <c r="R95" s="69">
        <f t="shared" si="64"/>
        <v>2.0297029702970297</v>
      </c>
      <c r="S95" s="69">
        <f t="shared" si="65"/>
        <v>5.582080000000001</v>
      </c>
    </row>
    <row r="96" spans="1:19" ht="12.75">
      <c r="A96" s="76" t="s">
        <v>52</v>
      </c>
      <c r="B96" s="1">
        <v>1987</v>
      </c>
      <c r="C96" s="1">
        <v>86</v>
      </c>
      <c r="D96" s="1">
        <v>138</v>
      </c>
      <c r="E96" s="1">
        <v>165</v>
      </c>
      <c r="H96" s="1">
        <f t="shared" si="61"/>
        <v>0.6231884057971014</v>
      </c>
      <c r="I96" s="27">
        <f t="shared" si="66"/>
        <v>165</v>
      </c>
      <c r="J96" s="25">
        <f t="shared" si="67"/>
        <v>48.160000000000004</v>
      </c>
      <c r="K96" s="34">
        <f t="shared" si="62"/>
        <v>96.60000000000001</v>
      </c>
      <c r="L96" s="37">
        <f t="shared" si="68"/>
        <v>48.440000000000005</v>
      </c>
      <c r="M96" s="41">
        <f t="shared" si="69"/>
        <v>0.38752000000000003</v>
      </c>
      <c r="N96" s="49">
        <f t="shared" si="70"/>
        <v>86</v>
      </c>
      <c r="O96" s="63">
        <f t="shared" si="71"/>
        <v>0.8363636363636363</v>
      </c>
      <c r="P96" s="57">
        <f t="shared" si="63"/>
        <v>0.7728</v>
      </c>
      <c r="Q96" s="69">
        <v>125</v>
      </c>
      <c r="R96" s="69">
        <f t="shared" si="64"/>
        <v>1.6046511627906976</v>
      </c>
      <c r="S96" s="69">
        <f t="shared" si="65"/>
        <v>6.33472</v>
      </c>
    </row>
    <row r="97" spans="1:19" ht="12.75">
      <c r="A97" s="76" t="s">
        <v>52</v>
      </c>
      <c r="B97" s="1">
        <v>1988</v>
      </c>
      <c r="C97" s="1">
        <v>73</v>
      </c>
      <c r="D97" s="1">
        <v>90</v>
      </c>
      <c r="E97" s="1">
        <v>92</v>
      </c>
      <c r="H97" s="1">
        <f t="shared" si="61"/>
        <v>0.8111111111111111</v>
      </c>
      <c r="I97" s="27">
        <f t="shared" si="66"/>
        <v>92</v>
      </c>
      <c r="J97" s="25">
        <f t="shared" si="67"/>
        <v>40.88</v>
      </c>
      <c r="K97" s="34">
        <f t="shared" si="62"/>
        <v>63</v>
      </c>
      <c r="L97" s="37">
        <f t="shared" si="68"/>
        <v>22.119999999999997</v>
      </c>
      <c r="M97" s="41">
        <f t="shared" si="69"/>
        <v>0.17695999999999998</v>
      </c>
      <c r="N97" s="49">
        <f t="shared" si="70"/>
        <v>73</v>
      </c>
      <c r="O97" s="63">
        <f t="shared" si="71"/>
        <v>0.9782608695652174</v>
      </c>
      <c r="P97" s="57">
        <f t="shared" si="63"/>
        <v>0.504</v>
      </c>
      <c r="Q97" s="69">
        <v>125</v>
      </c>
      <c r="R97" s="69">
        <f t="shared" si="64"/>
        <v>1.2328767123287672</v>
      </c>
      <c r="S97" s="69">
        <f t="shared" si="65"/>
        <v>5.39392</v>
      </c>
    </row>
    <row r="98" spans="1:19" ht="12.75">
      <c r="A98" s="76" t="s">
        <v>52</v>
      </c>
      <c r="B98" s="1">
        <v>1989</v>
      </c>
      <c r="C98" s="1">
        <v>86</v>
      </c>
      <c r="D98" s="1">
        <v>141</v>
      </c>
      <c r="E98" s="1">
        <v>148</v>
      </c>
      <c r="H98" s="1">
        <f t="shared" si="61"/>
        <v>0.6099290780141844</v>
      </c>
      <c r="I98" s="27">
        <f t="shared" si="66"/>
        <v>148</v>
      </c>
      <c r="J98" s="25">
        <f t="shared" si="67"/>
        <v>48.160000000000004</v>
      </c>
      <c r="K98" s="34">
        <f t="shared" si="62"/>
        <v>98.7</v>
      </c>
      <c r="L98" s="37">
        <f t="shared" si="68"/>
        <v>50.54</v>
      </c>
      <c r="M98" s="41">
        <f t="shared" si="69"/>
        <v>0.40432</v>
      </c>
      <c r="N98" s="49">
        <f t="shared" si="70"/>
        <v>86</v>
      </c>
      <c r="O98" s="63">
        <f t="shared" si="71"/>
        <v>0.9527027027027027</v>
      </c>
      <c r="P98" s="57">
        <f t="shared" si="63"/>
        <v>0.7896</v>
      </c>
      <c r="Q98" s="69">
        <v>125</v>
      </c>
      <c r="R98" s="69">
        <f t="shared" si="64"/>
        <v>1.6395348837209303</v>
      </c>
      <c r="S98" s="69">
        <f t="shared" si="65"/>
        <v>4.57856</v>
      </c>
    </row>
    <row r="99" spans="1:19" ht="12.75">
      <c r="A99" s="76" t="s">
        <v>52</v>
      </c>
      <c r="B99" s="1">
        <v>1990</v>
      </c>
      <c r="C99" s="1">
        <v>57</v>
      </c>
      <c r="D99" s="1">
        <v>170</v>
      </c>
      <c r="E99" s="1">
        <v>175</v>
      </c>
      <c r="H99" s="1">
        <f t="shared" si="61"/>
        <v>0.3352941176470588</v>
      </c>
      <c r="I99" s="27">
        <f t="shared" si="66"/>
        <v>175</v>
      </c>
      <c r="J99" s="25">
        <f t="shared" si="67"/>
        <v>31.92</v>
      </c>
      <c r="K99" s="34">
        <f t="shared" si="62"/>
        <v>119</v>
      </c>
      <c r="L99" s="37">
        <f t="shared" si="68"/>
        <v>87.08</v>
      </c>
      <c r="M99" s="41">
        <f t="shared" si="69"/>
        <v>0.69664</v>
      </c>
      <c r="N99" s="49">
        <f t="shared" si="70"/>
        <v>57</v>
      </c>
      <c r="O99" s="63">
        <f t="shared" si="71"/>
        <v>0.9714285714285714</v>
      </c>
      <c r="P99" s="57">
        <f t="shared" si="63"/>
        <v>0.952</v>
      </c>
      <c r="Q99" s="69">
        <v>125</v>
      </c>
      <c r="R99" s="69">
        <f t="shared" si="64"/>
        <v>2.982456140350877</v>
      </c>
      <c r="S99" s="69">
        <f t="shared" si="65"/>
        <v>5.3939200000000005</v>
      </c>
    </row>
    <row r="100" spans="1:19" ht="12.75">
      <c r="A100" s="76" t="s">
        <v>52</v>
      </c>
      <c r="B100" s="1">
        <v>1991</v>
      </c>
      <c r="C100" s="1">
        <v>70</v>
      </c>
      <c r="D100" s="1">
        <v>175</v>
      </c>
      <c r="E100" s="1">
        <v>183</v>
      </c>
      <c r="H100" s="1">
        <f t="shared" si="61"/>
        <v>0.4</v>
      </c>
      <c r="I100" s="27">
        <f t="shared" si="66"/>
        <v>183</v>
      </c>
      <c r="J100" s="25">
        <f t="shared" si="67"/>
        <v>39.2</v>
      </c>
      <c r="K100" s="34">
        <f t="shared" si="62"/>
        <v>122.5</v>
      </c>
      <c r="L100" s="37">
        <f t="shared" si="68"/>
        <v>83.3</v>
      </c>
      <c r="M100" s="41">
        <f t="shared" si="69"/>
        <v>0.6664</v>
      </c>
      <c r="N100" s="49">
        <f t="shared" si="70"/>
        <v>70</v>
      </c>
      <c r="O100" s="63">
        <f t="shared" si="71"/>
        <v>0.9562841530054644</v>
      </c>
      <c r="P100" s="57">
        <f t="shared" si="63"/>
        <v>0.98</v>
      </c>
      <c r="Q100" s="69">
        <v>125</v>
      </c>
      <c r="R100" s="69">
        <f t="shared" si="64"/>
        <v>2.5</v>
      </c>
      <c r="S100" s="69">
        <f t="shared" si="65"/>
        <v>3.5750400000000004</v>
      </c>
    </row>
    <row r="101" spans="1:19" ht="12.75">
      <c r="A101" s="76" t="s">
        <v>52</v>
      </c>
      <c r="B101" s="1">
        <v>1992</v>
      </c>
      <c r="C101" s="1">
        <v>51</v>
      </c>
      <c r="D101" s="1">
        <v>167</v>
      </c>
      <c r="E101" s="1">
        <v>176</v>
      </c>
      <c r="H101" s="1">
        <f t="shared" si="61"/>
        <v>0.30538922155688625</v>
      </c>
      <c r="I101" s="27">
        <f t="shared" si="66"/>
        <v>176</v>
      </c>
      <c r="J101" s="25">
        <f t="shared" si="67"/>
        <v>28.560000000000002</v>
      </c>
      <c r="K101" s="34">
        <f t="shared" si="62"/>
        <v>116.9</v>
      </c>
      <c r="L101" s="37">
        <f t="shared" si="68"/>
        <v>88.34</v>
      </c>
      <c r="M101" s="41">
        <f t="shared" si="69"/>
        <v>0.70672</v>
      </c>
      <c r="N101" s="49">
        <f t="shared" si="70"/>
        <v>51</v>
      </c>
      <c r="O101" s="63">
        <f t="shared" si="71"/>
        <v>0.9488636363636364</v>
      </c>
      <c r="P101" s="57">
        <f t="shared" si="63"/>
        <v>0.9352</v>
      </c>
      <c r="Q101" s="69">
        <v>125</v>
      </c>
      <c r="R101" s="69">
        <f t="shared" si="64"/>
        <v>3.2745098039215685</v>
      </c>
      <c r="S101" s="69">
        <f t="shared" si="65"/>
        <v>4.3904000000000005</v>
      </c>
    </row>
    <row r="102" spans="1:19" ht="12.75">
      <c r="A102" s="76" t="s">
        <v>52</v>
      </c>
      <c r="B102" s="1">
        <v>1993</v>
      </c>
      <c r="C102" s="1">
        <v>49</v>
      </c>
      <c r="D102" s="1">
        <v>125</v>
      </c>
      <c r="E102" s="1">
        <v>155</v>
      </c>
      <c r="H102" s="1">
        <f t="shared" si="61"/>
        <v>0.392</v>
      </c>
      <c r="I102" s="27">
        <f t="shared" si="66"/>
        <v>155</v>
      </c>
      <c r="J102" s="25">
        <f t="shared" si="67"/>
        <v>27.44</v>
      </c>
      <c r="K102" s="34">
        <f t="shared" si="62"/>
        <v>87.5</v>
      </c>
      <c r="L102" s="37">
        <f t="shared" si="68"/>
        <v>60.06</v>
      </c>
      <c r="M102" s="41">
        <f t="shared" si="69"/>
        <v>0.48048</v>
      </c>
      <c r="N102" s="49">
        <f t="shared" si="70"/>
        <v>49</v>
      </c>
      <c r="O102" s="63">
        <f t="shared" si="71"/>
        <v>0.8064516129032258</v>
      </c>
      <c r="P102" s="57">
        <f t="shared" si="63"/>
        <v>0.7</v>
      </c>
      <c r="Q102" s="69">
        <v>125</v>
      </c>
      <c r="R102" s="69">
        <f t="shared" si="64"/>
        <v>2.5510204081632653</v>
      </c>
      <c r="S102" s="69">
        <f t="shared" si="65"/>
        <v>3.1987200000000002</v>
      </c>
    </row>
    <row r="103" spans="1:19" ht="12.75">
      <c r="A103" s="76" t="s">
        <v>52</v>
      </c>
      <c r="B103" s="1">
        <v>1994</v>
      </c>
      <c r="C103" s="1">
        <v>81</v>
      </c>
      <c r="D103" s="1">
        <v>191</v>
      </c>
      <c r="E103" s="1">
        <v>187</v>
      </c>
      <c r="H103" s="1">
        <f t="shared" si="61"/>
        <v>0.42408376963350786</v>
      </c>
      <c r="I103" s="27">
        <f t="shared" si="66"/>
        <v>191</v>
      </c>
      <c r="J103" s="25">
        <f t="shared" si="67"/>
        <v>45.36</v>
      </c>
      <c r="K103" s="34">
        <f t="shared" si="62"/>
        <v>133.70000000000002</v>
      </c>
      <c r="L103" s="37">
        <f t="shared" si="68"/>
        <v>88.34000000000002</v>
      </c>
      <c r="M103" s="41">
        <f t="shared" si="69"/>
        <v>0.7067200000000001</v>
      </c>
      <c r="N103" s="49">
        <f t="shared" si="70"/>
        <v>81</v>
      </c>
      <c r="O103" s="63">
        <f t="shared" si="71"/>
        <v>1</v>
      </c>
      <c r="P103" s="57">
        <f t="shared" si="63"/>
        <v>1.0696</v>
      </c>
      <c r="Q103" s="69">
        <v>125</v>
      </c>
      <c r="R103" s="69">
        <f t="shared" si="64"/>
        <v>2.3580246913580245</v>
      </c>
      <c r="S103" s="69">
        <f t="shared" si="65"/>
        <v>3.07328</v>
      </c>
    </row>
    <row r="104" spans="1:19" ht="12.75">
      <c r="A104" s="76" t="s">
        <v>52</v>
      </c>
      <c r="B104" s="1">
        <v>1995</v>
      </c>
      <c r="C104" s="1">
        <v>73</v>
      </c>
      <c r="D104" s="1">
        <v>154</v>
      </c>
      <c r="E104" s="1">
        <v>166</v>
      </c>
      <c r="H104" s="1">
        <f t="shared" si="61"/>
        <v>0.474025974025974</v>
      </c>
      <c r="I104" s="27">
        <f t="shared" si="66"/>
        <v>166</v>
      </c>
      <c r="J104" s="25">
        <f t="shared" si="67"/>
        <v>40.88</v>
      </c>
      <c r="K104" s="34">
        <f t="shared" si="62"/>
        <v>107.80000000000001</v>
      </c>
      <c r="L104" s="37">
        <f t="shared" si="68"/>
        <v>66.92000000000002</v>
      </c>
      <c r="M104" s="41">
        <f t="shared" si="69"/>
        <v>0.5353600000000002</v>
      </c>
      <c r="N104" s="49">
        <f t="shared" si="70"/>
        <v>73</v>
      </c>
      <c r="O104" s="63">
        <f t="shared" si="71"/>
        <v>0.927710843373494</v>
      </c>
      <c r="P104" s="57">
        <f t="shared" si="63"/>
        <v>0.8624</v>
      </c>
      <c r="Q104" s="69">
        <v>125</v>
      </c>
      <c r="R104" s="69">
        <f t="shared" si="64"/>
        <v>2.1095890410958904</v>
      </c>
      <c r="S104" s="69">
        <f t="shared" si="65"/>
        <v>5.08032</v>
      </c>
    </row>
    <row r="105" spans="1:19" ht="12.75">
      <c r="A105" s="76" t="s">
        <v>52</v>
      </c>
      <c r="B105" s="1">
        <v>1996</v>
      </c>
      <c r="C105" s="1">
        <v>63</v>
      </c>
      <c r="D105" s="1">
        <v>163</v>
      </c>
      <c r="E105" s="1">
        <v>159</v>
      </c>
      <c r="H105" s="1">
        <f t="shared" si="61"/>
        <v>0.38650306748466257</v>
      </c>
      <c r="I105" s="27">
        <f t="shared" si="66"/>
        <v>163</v>
      </c>
      <c r="J105" s="25">
        <f t="shared" si="67"/>
        <v>35.28</v>
      </c>
      <c r="K105" s="34">
        <f t="shared" si="62"/>
        <v>114.10000000000001</v>
      </c>
      <c r="L105" s="37">
        <f t="shared" si="68"/>
        <v>78.82000000000001</v>
      </c>
      <c r="M105" s="41">
        <f t="shared" si="69"/>
        <v>0.63056</v>
      </c>
      <c r="N105" s="49">
        <f t="shared" si="70"/>
        <v>63</v>
      </c>
      <c r="O105" s="63">
        <f t="shared" si="71"/>
        <v>1</v>
      </c>
      <c r="P105" s="57">
        <f t="shared" si="63"/>
        <v>0.9128000000000001</v>
      </c>
      <c r="Q105" s="69">
        <v>125</v>
      </c>
      <c r="R105" s="69">
        <f t="shared" si="64"/>
        <v>2.5873015873015874</v>
      </c>
      <c r="S105" s="69">
        <f t="shared" si="65"/>
        <v>4.57856</v>
      </c>
    </row>
    <row r="106" spans="1:19" ht="12.75">
      <c r="A106" s="76" t="s">
        <v>52</v>
      </c>
      <c r="B106" s="1">
        <v>1997</v>
      </c>
      <c r="C106" s="1">
        <v>67</v>
      </c>
      <c r="D106" s="1">
        <v>172</v>
      </c>
      <c r="E106" s="1">
        <v>175</v>
      </c>
      <c r="H106" s="1">
        <f t="shared" si="61"/>
        <v>0.38953488372093026</v>
      </c>
      <c r="I106" s="27">
        <f t="shared" si="66"/>
        <v>175</v>
      </c>
      <c r="J106" s="25">
        <f t="shared" si="67"/>
        <v>37.52</v>
      </c>
      <c r="K106" s="34">
        <f t="shared" si="62"/>
        <v>120.4</v>
      </c>
      <c r="L106" s="37">
        <f t="shared" si="68"/>
        <v>82.88</v>
      </c>
      <c r="M106" s="41">
        <f t="shared" si="69"/>
        <v>0.66304</v>
      </c>
      <c r="N106" s="49">
        <f t="shared" si="70"/>
        <v>67</v>
      </c>
      <c r="O106" s="63">
        <f t="shared" si="71"/>
        <v>0.9828571428571429</v>
      </c>
      <c r="P106" s="57">
        <f t="shared" si="63"/>
        <v>0.9632000000000001</v>
      </c>
      <c r="Q106" s="69">
        <v>125</v>
      </c>
      <c r="R106" s="69">
        <f t="shared" si="64"/>
        <v>2.5671641791044775</v>
      </c>
      <c r="S106" s="69">
        <f t="shared" si="65"/>
        <v>3.95136</v>
      </c>
    </row>
    <row r="107" spans="1:19" ht="12.75">
      <c r="A107" s="76" t="s">
        <v>52</v>
      </c>
      <c r="B107" s="1">
        <v>1998</v>
      </c>
      <c r="C107" s="1">
        <v>91</v>
      </c>
      <c r="D107" s="1">
        <v>230</v>
      </c>
      <c r="E107" s="1">
        <v>223</v>
      </c>
      <c r="H107" s="1">
        <f t="shared" si="61"/>
        <v>0.39565217391304347</v>
      </c>
      <c r="I107" s="27">
        <f t="shared" si="66"/>
        <v>230</v>
      </c>
      <c r="J107" s="25">
        <f t="shared" si="67"/>
        <v>50.96</v>
      </c>
      <c r="K107" s="34">
        <f t="shared" si="62"/>
        <v>161</v>
      </c>
      <c r="L107" s="37">
        <f t="shared" si="68"/>
        <v>110.03999999999999</v>
      </c>
      <c r="M107" s="41">
        <f t="shared" si="69"/>
        <v>0.88032</v>
      </c>
      <c r="N107" s="49">
        <f t="shared" si="70"/>
        <v>91</v>
      </c>
      <c r="O107" s="63">
        <f t="shared" si="71"/>
        <v>1</v>
      </c>
      <c r="P107" s="57">
        <f t="shared" si="63"/>
        <v>1.288</v>
      </c>
      <c r="Q107" s="69">
        <v>125</v>
      </c>
      <c r="R107" s="69">
        <f t="shared" si="64"/>
        <v>2.5274725274725274</v>
      </c>
      <c r="S107" s="69">
        <f t="shared" si="65"/>
        <v>4.202240000000001</v>
      </c>
    </row>
    <row r="108" spans="1:19" ht="12.75">
      <c r="A108" s="76" t="s">
        <v>52</v>
      </c>
      <c r="B108" s="1">
        <v>1999</v>
      </c>
      <c r="C108" s="1">
        <v>82</v>
      </c>
      <c r="D108" s="1">
        <v>211</v>
      </c>
      <c r="E108" s="1">
        <v>195</v>
      </c>
      <c r="H108" s="1">
        <f t="shared" si="61"/>
        <v>0.3886255924170616</v>
      </c>
      <c r="I108" s="27">
        <f t="shared" si="66"/>
        <v>211</v>
      </c>
      <c r="J108" s="25">
        <f t="shared" si="67"/>
        <v>45.92</v>
      </c>
      <c r="K108" s="34">
        <f t="shared" si="62"/>
        <v>147.70000000000002</v>
      </c>
      <c r="L108" s="37">
        <f t="shared" si="68"/>
        <v>101.78000000000002</v>
      </c>
      <c r="M108" s="41">
        <f t="shared" si="69"/>
        <v>0.8142400000000001</v>
      </c>
      <c r="N108" s="49">
        <f t="shared" si="70"/>
        <v>82</v>
      </c>
      <c r="O108" s="63">
        <f t="shared" si="71"/>
        <v>1</v>
      </c>
      <c r="P108" s="57">
        <f t="shared" si="63"/>
        <v>1.1816000000000002</v>
      </c>
      <c r="Q108" s="69">
        <v>125</v>
      </c>
      <c r="R108" s="69">
        <f t="shared" si="64"/>
        <v>2.573170731707317</v>
      </c>
      <c r="S108" s="69">
        <f t="shared" si="65"/>
        <v>5.707520000000001</v>
      </c>
    </row>
    <row r="109" spans="1:19" ht="12.75">
      <c r="A109" s="76" t="s">
        <v>52</v>
      </c>
      <c r="B109" s="1">
        <v>2000</v>
      </c>
      <c r="C109" s="1">
        <v>58</v>
      </c>
      <c r="D109" s="1">
        <v>187</v>
      </c>
      <c r="E109" s="1">
        <v>192</v>
      </c>
      <c r="H109" s="1">
        <f t="shared" si="61"/>
        <v>0.31016042780748665</v>
      </c>
      <c r="I109" s="27">
        <f t="shared" si="66"/>
        <v>192</v>
      </c>
      <c r="J109" s="25">
        <f t="shared" si="67"/>
        <v>32.480000000000004</v>
      </c>
      <c r="K109" s="34">
        <f t="shared" si="62"/>
        <v>130.9</v>
      </c>
      <c r="L109" s="37">
        <f t="shared" si="68"/>
        <v>98.42</v>
      </c>
      <c r="M109" s="41">
        <f t="shared" si="69"/>
        <v>0.7873600000000001</v>
      </c>
      <c r="N109" s="49">
        <f t="shared" si="70"/>
        <v>58</v>
      </c>
      <c r="O109" s="63">
        <f t="shared" si="71"/>
        <v>0.9739583333333334</v>
      </c>
      <c r="P109" s="57">
        <f t="shared" si="63"/>
        <v>1.0472000000000001</v>
      </c>
      <c r="Q109" s="69">
        <v>125</v>
      </c>
      <c r="R109" s="69">
        <f t="shared" si="64"/>
        <v>3.2241379310344827</v>
      </c>
      <c r="S109" s="69">
        <f t="shared" si="65"/>
        <v>5.143040000000001</v>
      </c>
    </row>
    <row r="110" spans="1:19" ht="12.75">
      <c r="A110" s="76" t="s">
        <v>52</v>
      </c>
      <c r="B110" s="1">
        <v>2001</v>
      </c>
      <c r="C110" s="1">
        <v>48</v>
      </c>
      <c r="D110" s="1">
        <v>184</v>
      </c>
      <c r="E110" s="1">
        <v>182</v>
      </c>
      <c r="H110" s="1">
        <f t="shared" si="61"/>
        <v>0.2608695652173913</v>
      </c>
      <c r="I110" s="27">
        <f t="shared" si="66"/>
        <v>184</v>
      </c>
      <c r="J110" s="25">
        <f t="shared" si="67"/>
        <v>26.88</v>
      </c>
      <c r="K110" s="34">
        <f t="shared" si="62"/>
        <v>128.8</v>
      </c>
      <c r="L110" s="37">
        <f t="shared" si="68"/>
        <v>101.92000000000002</v>
      </c>
      <c r="M110" s="41">
        <f t="shared" si="69"/>
        <v>0.8153600000000001</v>
      </c>
      <c r="N110" s="49">
        <f t="shared" si="70"/>
        <v>48</v>
      </c>
      <c r="O110" s="63">
        <f t="shared" si="71"/>
        <v>1</v>
      </c>
      <c r="P110" s="57">
        <f t="shared" si="63"/>
        <v>1.0304</v>
      </c>
      <c r="Q110" s="69">
        <v>125</v>
      </c>
      <c r="R110" s="69">
        <f t="shared" si="64"/>
        <v>3.8333333333333335</v>
      </c>
      <c r="S110" s="69">
        <f t="shared" si="65"/>
        <v>3.6377600000000005</v>
      </c>
    </row>
    <row r="111" spans="1:19" ht="12.75">
      <c r="A111" s="76" t="s">
        <v>52</v>
      </c>
      <c r="B111" s="1">
        <v>2002</v>
      </c>
      <c r="C111" s="1">
        <v>78</v>
      </c>
      <c r="D111" s="1">
        <v>175</v>
      </c>
      <c r="E111" s="1">
        <v>193</v>
      </c>
      <c r="H111" s="1">
        <f t="shared" si="61"/>
        <v>0.44571428571428573</v>
      </c>
      <c r="I111" s="27">
        <f t="shared" si="66"/>
        <v>193</v>
      </c>
      <c r="J111" s="25">
        <f t="shared" si="67"/>
        <v>43.68</v>
      </c>
      <c r="K111" s="34">
        <f t="shared" si="62"/>
        <v>122.5</v>
      </c>
      <c r="L111" s="37">
        <f t="shared" si="68"/>
        <v>78.82</v>
      </c>
      <c r="M111" s="41">
        <f t="shared" si="69"/>
        <v>0.6305599999999999</v>
      </c>
      <c r="N111" s="49">
        <f t="shared" si="70"/>
        <v>78</v>
      </c>
      <c r="O111" s="63">
        <f t="shared" si="71"/>
        <v>0.9067357512953368</v>
      </c>
      <c r="P111" s="57">
        <f t="shared" si="63"/>
        <v>0.98</v>
      </c>
      <c r="Q111" s="69">
        <v>125</v>
      </c>
      <c r="R111" s="69">
        <f t="shared" si="64"/>
        <v>2.2435897435897436</v>
      </c>
      <c r="S111" s="69">
        <f t="shared" si="65"/>
        <v>3.0105600000000003</v>
      </c>
    </row>
    <row r="112" spans="1:19" ht="12.75">
      <c r="A112" s="76" t="s">
        <v>52</v>
      </c>
      <c r="B112" s="1">
        <v>2003</v>
      </c>
      <c r="C112" s="1">
        <v>58</v>
      </c>
      <c r="D112" s="1">
        <v>171</v>
      </c>
      <c r="E112" s="1">
        <v>163</v>
      </c>
      <c r="H112" s="1">
        <f t="shared" si="61"/>
        <v>0.3391812865497076</v>
      </c>
      <c r="I112" s="27">
        <f t="shared" si="66"/>
        <v>171</v>
      </c>
      <c r="J112" s="25">
        <f t="shared" si="67"/>
        <v>32.480000000000004</v>
      </c>
      <c r="K112" s="34">
        <f t="shared" si="62"/>
        <v>119.7</v>
      </c>
      <c r="L112" s="37">
        <f t="shared" si="68"/>
        <v>87.22</v>
      </c>
      <c r="M112" s="41">
        <f t="shared" si="69"/>
        <v>0.6977599999999999</v>
      </c>
      <c r="N112" s="49">
        <f t="shared" si="70"/>
        <v>58</v>
      </c>
      <c r="O112" s="63">
        <f t="shared" si="71"/>
        <v>1</v>
      </c>
      <c r="P112" s="57">
        <f t="shared" si="63"/>
        <v>0.9576</v>
      </c>
      <c r="Q112" s="69">
        <v>125</v>
      </c>
      <c r="R112" s="69">
        <f t="shared" si="64"/>
        <v>2.9482758620689653</v>
      </c>
      <c r="S112" s="69">
        <f t="shared" si="65"/>
        <v>4.8921600000000005</v>
      </c>
    </row>
    <row r="113" spans="1:19" ht="12.75">
      <c r="A113" s="76" t="s">
        <v>52</v>
      </c>
      <c r="B113" s="1">
        <v>2004</v>
      </c>
      <c r="C113" s="1">
        <v>33</v>
      </c>
      <c r="D113" s="1">
        <v>168</v>
      </c>
      <c r="E113" s="1">
        <v>174</v>
      </c>
      <c r="H113" s="1">
        <f t="shared" si="61"/>
        <v>0.19642857142857142</v>
      </c>
      <c r="I113" s="27">
        <f t="shared" si="66"/>
        <v>174</v>
      </c>
      <c r="J113" s="25">
        <f t="shared" si="67"/>
        <v>18.48</v>
      </c>
      <c r="K113" s="34">
        <f t="shared" si="62"/>
        <v>117.60000000000001</v>
      </c>
      <c r="L113" s="37">
        <f t="shared" si="68"/>
        <v>99.12</v>
      </c>
      <c r="M113" s="41">
        <f t="shared" si="69"/>
        <v>0.79296</v>
      </c>
      <c r="N113" s="49">
        <f t="shared" si="70"/>
        <v>33</v>
      </c>
      <c r="O113" s="63">
        <f>D113/(MAX(D113:E113))</f>
        <v>0.9655172413793104</v>
      </c>
      <c r="P113" s="57">
        <f t="shared" si="63"/>
        <v>0.9408000000000001</v>
      </c>
      <c r="Q113" s="69">
        <v>125</v>
      </c>
      <c r="R113" s="69">
        <f t="shared" si="64"/>
        <v>5.090909090909091</v>
      </c>
      <c r="S113" s="69">
        <f t="shared" si="65"/>
        <v>3.637759999999999</v>
      </c>
    </row>
    <row r="114" spans="1:22" ht="12.75">
      <c r="A114" s="77" t="s">
        <v>53</v>
      </c>
      <c r="B114" s="1">
        <v>1987</v>
      </c>
      <c r="C114" s="1">
        <v>107</v>
      </c>
      <c r="D114" s="1">
        <v>195</v>
      </c>
      <c r="H114" s="1">
        <f>C114/(MAX(C114:D114))</f>
        <v>0.5487179487179488</v>
      </c>
      <c r="I114" s="27">
        <f>MAX(C114:D114)</f>
        <v>195</v>
      </c>
      <c r="J114" s="25">
        <f>(C114*56*0.01)</f>
        <v>59.92</v>
      </c>
      <c r="K114" s="34">
        <f>D114*56*0.013</f>
        <v>141.95999999999998</v>
      </c>
      <c r="L114" s="37">
        <f>K114-J114</f>
        <v>82.03999999999998</v>
      </c>
      <c r="M114" s="41">
        <f>((D114*56*0.0125)-(C114*56*0.01))/130</f>
        <v>0.589076923076923</v>
      </c>
      <c r="N114" s="49">
        <f>C114</f>
        <v>107</v>
      </c>
      <c r="O114" s="63"/>
      <c r="P114" s="57">
        <f>(D114*56*0.0125)/130</f>
        <v>1.05</v>
      </c>
      <c r="Q114" s="69">
        <v>130</v>
      </c>
      <c r="R114" s="69">
        <f>D114/C114</f>
        <v>1.8224299065420562</v>
      </c>
      <c r="U114" s="2" t="s">
        <v>41</v>
      </c>
      <c r="V114" s="79">
        <v>130</v>
      </c>
    </row>
    <row r="115" spans="1:19" ht="12.75">
      <c r="A115" s="77" t="s">
        <v>53</v>
      </c>
      <c r="B115" s="1">
        <v>1988</v>
      </c>
      <c r="C115" s="1">
        <v>102</v>
      </c>
      <c r="D115" s="1">
        <v>102</v>
      </c>
      <c r="H115" s="1">
        <f aca="true" t="shared" si="72" ref="H115:H130">C115/(MAX(C115:D115))</f>
        <v>1</v>
      </c>
      <c r="I115" s="27">
        <f aca="true" t="shared" si="73" ref="I115:I142">MAX(C115:D115)</f>
        <v>102</v>
      </c>
      <c r="J115" s="25">
        <f aca="true" t="shared" si="74" ref="J115:J142">(C115*56*0.01)</f>
        <v>57.120000000000005</v>
      </c>
      <c r="K115" s="34">
        <f aca="true" t="shared" si="75" ref="K115:K130">D115*56*0.013</f>
        <v>74.256</v>
      </c>
      <c r="L115" s="37">
        <f aca="true" t="shared" si="76" ref="L115:L142">K115-J115</f>
        <v>17.135999999999996</v>
      </c>
      <c r="M115" s="41">
        <f aca="true" t="shared" si="77" ref="M115:M130">((D115*56*0.0125)-(C115*56*0.01))/130</f>
        <v>0.10984615384615386</v>
      </c>
      <c r="N115" s="49">
        <f aca="true" t="shared" si="78" ref="N115:N130">C115</f>
        <v>102</v>
      </c>
      <c r="O115" s="63"/>
      <c r="P115" s="57">
        <f aca="true" t="shared" si="79" ref="P115:P130">(D115*56*0.0125)/130</f>
        <v>0.5492307692307693</v>
      </c>
      <c r="Q115" s="69">
        <v>130</v>
      </c>
      <c r="R115" s="69">
        <f aca="true" t="shared" si="80" ref="R115:R142">D115/C115</f>
        <v>1</v>
      </c>
      <c r="S115" s="69">
        <f>R114*(C114*56*1.12/1000)*H114</f>
        <v>6.7110400000000014</v>
      </c>
    </row>
    <row r="116" spans="1:19" ht="12.75">
      <c r="A116" s="77" t="s">
        <v>53</v>
      </c>
      <c r="B116" s="1">
        <v>1989</v>
      </c>
      <c r="C116" s="1">
        <v>98</v>
      </c>
      <c r="D116" s="1">
        <v>153</v>
      </c>
      <c r="H116" s="1">
        <f t="shared" si="72"/>
        <v>0.6405228758169934</v>
      </c>
      <c r="I116" s="27">
        <f t="shared" si="73"/>
        <v>153</v>
      </c>
      <c r="J116" s="25">
        <f t="shared" si="74"/>
        <v>54.88</v>
      </c>
      <c r="K116" s="34">
        <f t="shared" si="75"/>
        <v>111.384</v>
      </c>
      <c r="L116" s="37">
        <f t="shared" si="76"/>
        <v>56.504</v>
      </c>
      <c r="M116" s="41">
        <f t="shared" si="77"/>
        <v>0.40169230769230774</v>
      </c>
      <c r="N116" s="49">
        <f t="shared" si="78"/>
        <v>98</v>
      </c>
      <c r="O116" s="63"/>
      <c r="P116" s="57">
        <f t="shared" si="79"/>
        <v>0.8238461538461539</v>
      </c>
      <c r="Q116" s="69">
        <v>130</v>
      </c>
      <c r="R116" s="69">
        <f t="shared" si="80"/>
        <v>1.5612244897959184</v>
      </c>
      <c r="S116" s="69">
        <f aca="true" t="shared" si="81" ref="S116:S130">R115*(C115*56*1.12/1000)*H115</f>
        <v>6.3974400000000005</v>
      </c>
    </row>
    <row r="117" spans="1:19" ht="12.75">
      <c r="A117" s="77" t="s">
        <v>53</v>
      </c>
      <c r="B117" s="1">
        <v>1990</v>
      </c>
      <c r="C117" s="1">
        <v>107</v>
      </c>
      <c r="D117" s="1">
        <v>151</v>
      </c>
      <c r="H117" s="1">
        <f t="shared" si="72"/>
        <v>0.7086092715231788</v>
      </c>
      <c r="I117" s="27">
        <f t="shared" si="73"/>
        <v>151</v>
      </c>
      <c r="J117" s="25">
        <f t="shared" si="74"/>
        <v>59.92</v>
      </c>
      <c r="K117" s="34">
        <f t="shared" si="75"/>
        <v>109.928</v>
      </c>
      <c r="L117" s="37">
        <f t="shared" si="76"/>
        <v>50.007999999999996</v>
      </c>
      <c r="M117" s="41">
        <f t="shared" si="77"/>
        <v>0.35215384615384615</v>
      </c>
      <c r="N117" s="49">
        <f t="shared" si="78"/>
        <v>107</v>
      </c>
      <c r="O117" s="63"/>
      <c r="P117" s="57">
        <f t="shared" si="79"/>
        <v>0.8130769230769231</v>
      </c>
      <c r="Q117" s="69">
        <v>130</v>
      </c>
      <c r="R117" s="69">
        <f t="shared" si="80"/>
        <v>1.411214953271028</v>
      </c>
      <c r="S117" s="69">
        <f t="shared" si="81"/>
        <v>6.14656</v>
      </c>
    </row>
    <row r="118" spans="1:19" ht="12.75">
      <c r="A118" s="77" t="s">
        <v>53</v>
      </c>
      <c r="B118" s="1">
        <v>1991</v>
      </c>
      <c r="C118" s="1">
        <v>93</v>
      </c>
      <c r="D118" s="1">
        <v>153</v>
      </c>
      <c r="H118" s="1">
        <f t="shared" si="72"/>
        <v>0.6078431372549019</v>
      </c>
      <c r="I118" s="27">
        <f t="shared" si="73"/>
        <v>153</v>
      </c>
      <c r="J118" s="25">
        <f t="shared" si="74"/>
        <v>52.08</v>
      </c>
      <c r="K118" s="34">
        <f t="shared" si="75"/>
        <v>111.384</v>
      </c>
      <c r="L118" s="37">
        <f t="shared" si="76"/>
        <v>59.304</v>
      </c>
      <c r="M118" s="41">
        <f t="shared" si="77"/>
        <v>0.4232307692307693</v>
      </c>
      <c r="N118" s="49">
        <f t="shared" si="78"/>
        <v>93</v>
      </c>
      <c r="O118" s="63"/>
      <c r="P118" s="57">
        <f t="shared" si="79"/>
        <v>0.8238461538461539</v>
      </c>
      <c r="Q118" s="69">
        <v>130</v>
      </c>
      <c r="R118" s="69">
        <f t="shared" si="80"/>
        <v>1.6451612903225807</v>
      </c>
      <c r="S118" s="69">
        <f t="shared" si="81"/>
        <v>6.711040000000001</v>
      </c>
    </row>
    <row r="119" spans="1:19" ht="12.75">
      <c r="A119" s="77" t="s">
        <v>53</v>
      </c>
      <c r="B119" s="1">
        <v>1992</v>
      </c>
      <c r="C119" s="1">
        <v>100</v>
      </c>
      <c r="D119" s="1">
        <v>157</v>
      </c>
      <c r="H119" s="1">
        <f t="shared" si="72"/>
        <v>0.6369426751592356</v>
      </c>
      <c r="I119" s="27">
        <f t="shared" si="73"/>
        <v>157</v>
      </c>
      <c r="J119" s="25">
        <f t="shared" si="74"/>
        <v>56</v>
      </c>
      <c r="K119" s="34">
        <f t="shared" si="75"/>
        <v>114.29599999999999</v>
      </c>
      <c r="L119" s="37">
        <f t="shared" si="76"/>
        <v>58.29599999999999</v>
      </c>
      <c r="M119" s="41">
        <f t="shared" si="77"/>
        <v>0.41461538461538466</v>
      </c>
      <c r="N119" s="49">
        <f t="shared" si="78"/>
        <v>100</v>
      </c>
      <c r="O119" s="63"/>
      <c r="P119" s="57">
        <f t="shared" si="79"/>
        <v>0.8453846153846154</v>
      </c>
      <c r="Q119" s="69">
        <v>130</v>
      </c>
      <c r="R119" s="69">
        <f t="shared" si="80"/>
        <v>1.57</v>
      </c>
      <c r="S119" s="69">
        <f t="shared" si="81"/>
        <v>5.83296</v>
      </c>
    </row>
    <row r="120" spans="1:19" ht="12.75">
      <c r="A120" s="77" t="s">
        <v>53</v>
      </c>
      <c r="B120" s="1">
        <v>1993</v>
      </c>
      <c r="C120" s="1">
        <v>57</v>
      </c>
      <c r="D120" s="1">
        <v>117</v>
      </c>
      <c r="H120" s="1">
        <f t="shared" si="72"/>
        <v>0.48717948717948717</v>
      </c>
      <c r="I120" s="27">
        <f t="shared" si="73"/>
        <v>117</v>
      </c>
      <c r="J120" s="25">
        <f t="shared" si="74"/>
        <v>31.92</v>
      </c>
      <c r="K120" s="34">
        <f t="shared" si="75"/>
        <v>85.176</v>
      </c>
      <c r="L120" s="37">
        <f t="shared" si="76"/>
        <v>53.256</v>
      </c>
      <c r="M120" s="41">
        <f t="shared" si="77"/>
        <v>0.38446153846153847</v>
      </c>
      <c r="N120" s="49">
        <f t="shared" si="78"/>
        <v>57</v>
      </c>
      <c r="O120" s="63"/>
      <c r="P120" s="57">
        <f t="shared" si="79"/>
        <v>0.63</v>
      </c>
      <c r="Q120" s="69">
        <v>130</v>
      </c>
      <c r="R120" s="69">
        <f t="shared" si="80"/>
        <v>2.0526315789473686</v>
      </c>
      <c r="S120" s="69">
        <f t="shared" si="81"/>
        <v>6.272000000000001</v>
      </c>
    </row>
    <row r="121" spans="1:19" ht="12.75">
      <c r="A121" s="77" t="s">
        <v>53</v>
      </c>
      <c r="B121" s="1">
        <v>1994</v>
      </c>
      <c r="C121" s="1">
        <v>117</v>
      </c>
      <c r="D121" s="1">
        <v>175</v>
      </c>
      <c r="H121" s="1">
        <f t="shared" si="72"/>
        <v>0.6685714285714286</v>
      </c>
      <c r="I121" s="27">
        <f t="shared" si="73"/>
        <v>175</v>
      </c>
      <c r="J121" s="25">
        <f t="shared" si="74"/>
        <v>65.52</v>
      </c>
      <c r="K121" s="34">
        <f t="shared" si="75"/>
        <v>127.39999999999999</v>
      </c>
      <c r="L121" s="37">
        <f t="shared" si="76"/>
        <v>61.879999999999995</v>
      </c>
      <c r="M121" s="41">
        <f t="shared" si="77"/>
        <v>0.43830769230769234</v>
      </c>
      <c r="N121" s="49">
        <f t="shared" si="78"/>
        <v>117</v>
      </c>
      <c r="O121" s="63"/>
      <c r="P121" s="57">
        <f t="shared" si="79"/>
        <v>0.9423076923076923</v>
      </c>
      <c r="Q121" s="69">
        <v>130</v>
      </c>
      <c r="R121" s="69">
        <f t="shared" si="80"/>
        <v>1.4957264957264957</v>
      </c>
      <c r="S121" s="69">
        <f t="shared" si="81"/>
        <v>3.575040000000001</v>
      </c>
    </row>
    <row r="122" spans="1:19" ht="12.75">
      <c r="A122" s="77" t="s">
        <v>53</v>
      </c>
      <c r="B122" s="1">
        <v>1995</v>
      </c>
      <c r="C122" s="1">
        <v>79</v>
      </c>
      <c r="D122" s="1">
        <v>158</v>
      </c>
      <c r="H122" s="1">
        <f t="shared" si="72"/>
        <v>0.5</v>
      </c>
      <c r="I122" s="27">
        <f t="shared" si="73"/>
        <v>158</v>
      </c>
      <c r="J122" s="25">
        <f t="shared" si="74"/>
        <v>44.24</v>
      </c>
      <c r="K122" s="34">
        <f t="shared" si="75"/>
        <v>115.024</v>
      </c>
      <c r="L122" s="37">
        <f t="shared" si="76"/>
        <v>70.78399999999999</v>
      </c>
      <c r="M122" s="41">
        <f t="shared" si="77"/>
        <v>0.5104615384615385</v>
      </c>
      <c r="N122" s="49">
        <f t="shared" si="78"/>
        <v>79</v>
      </c>
      <c r="P122" s="57">
        <f t="shared" si="79"/>
        <v>0.8507692307692308</v>
      </c>
      <c r="Q122" s="69">
        <v>130</v>
      </c>
      <c r="R122" s="69">
        <f t="shared" si="80"/>
        <v>2</v>
      </c>
      <c r="S122" s="69">
        <f t="shared" si="81"/>
        <v>7.338240000000001</v>
      </c>
    </row>
    <row r="123" spans="1:19" ht="12.75">
      <c r="A123" s="77" t="s">
        <v>53</v>
      </c>
      <c r="B123" s="1">
        <v>1996</v>
      </c>
      <c r="C123" s="1">
        <v>105</v>
      </c>
      <c r="D123" s="1">
        <v>168</v>
      </c>
      <c r="H123" s="1">
        <f t="shared" si="72"/>
        <v>0.625</v>
      </c>
      <c r="I123" s="27">
        <f t="shared" si="73"/>
        <v>168</v>
      </c>
      <c r="J123" s="25">
        <f t="shared" si="74"/>
        <v>58.800000000000004</v>
      </c>
      <c r="K123" s="34">
        <f t="shared" si="75"/>
        <v>122.30399999999999</v>
      </c>
      <c r="L123" s="37">
        <f t="shared" si="76"/>
        <v>63.503999999999984</v>
      </c>
      <c r="M123" s="41">
        <f t="shared" si="77"/>
        <v>0.45230769230769236</v>
      </c>
      <c r="N123" s="49">
        <f t="shared" si="78"/>
        <v>105</v>
      </c>
      <c r="P123" s="57">
        <f t="shared" si="79"/>
        <v>0.9046153846153847</v>
      </c>
      <c r="Q123" s="69">
        <v>130</v>
      </c>
      <c r="R123" s="69">
        <f t="shared" si="80"/>
        <v>1.6</v>
      </c>
      <c r="S123" s="69">
        <f t="shared" si="81"/>
        <v>4.95488</v>
      </c>
    </row>
    <row r="124" spans="1:19" ht="12.75">
      <c r="A124" s="77" t="s">
        <v>53</v>
      </c>
      <c r="B124" s="1">
        <v>1997</v>
      </c>
      <c r="C124" s="1">
        <v>112</v>
      </c>
      <c r="D124" s="1">
        <v>189</v>
      </c>
      <c r="H124" s="1">
        <f t="shared" si="72"/>
        <v>0.5925925925925926</v>
      </c>
      <c r="I124" s="27">
        <f t="shared" si="73"/>
        <v>189</v>
      </c>
      <c r="J124" s="25">
        <f t="shared" si="74"/>
        <v>62.72</v>
      </c>
      <c r="K124" s="34">
        <f t="shared" si="75"/>
        <v>137.59199999999998</v>
      </c>
      <c r="L124" s="37">
        <f t="shared" si="76"/>
        <v>74.87199999999999</v>
      </c>
      <c r="M124" s="41">
        <f t="shared" si="77"/>
        <v>0.5352307692307693</v>
      </c>
      <c r="N124" s="49">
        <f t="shared" si="78"/>
        <v>112</v>
      </c>
      <c r="P124" s="57">
        <f t="shared" si="79"/>
        <v>1.0176923076923077</v>
      </c>
      <c r="Q124" s="69">
        <v>130</v>
      </c>
      <c r="R124" s="69">
        <f t="shared" si="80"/>
        <v>1.6875</v>
      </c>
      <c r="S124" s="69">
        <f t="shared" si="81"/>
        <v>6.5856</v>
      </c>
    </row>
    <row r="125" spans="1:19" ht="12.75">
      <c r="A125" s="77" t="s">
        <v>53</v>
      </c>
      <c r="B125" s="1">
        <v>1998</v>
      </c>
      <c r="C125" s="1">
        <v>131</v>
      </c>
      <c r="D125" s="1">
        <v>207</v>
      </c>
      <c r="H125" s="1">
        <f t="shared" si="72"/>
        <v>0.6328502415458938</v>
      </c>
      <c r="I125" s="27">
        <f t="shared" si="73"/>
        <v>207</v>
      </c>
      <c r="J125" s="25">
        <f t="shared" si="74"/>
        <v>73.36</v>
      </c>
      <c r="K125" s="34">
        <f t="shared" si="75"/>
        <v>150.696</v>
      </c>
      <c r="L125" s="37">
        <f t="shared" si="76"/>
        <v>77.336</v>
      </c>
      <c r="M125" s="41">
        <f t="shared" si="77"/>
        <v>0.5503076923076924</v>
      </c>
      <c r="N125" s="49">
        <f t="shared" si="78"/>
        <v>131</v>
      </c>
      <c r="P125" s="57">
        <f t="shared" si="79"/>
        <v>1.1146153846153846</v>
      </c>
      <c r="Q125" s="69">
        <v>130</v>
      </c>
      <c r="R125" s="69">
        <f t="shared" si="80"/>
        <v>1.5801526717557253</v>
      </c>
      <c r="S125" s="69">
        <f t="shared" si="81"/>
        <v>7.024640000000001</v>
      </c>
    </row>
    <row r="126" spans="1:19" ht="12.75">
      <c r="A126" s="77" t="s">
        <v>53</v>
      </c>
      <c r="B126" s="1">
        <v>1999</v>
      </c>
      <c r="C126" s="1">
        <v>90</v>
      </c>
      <c r="D126" s="1">
        <v>187</v>
      </c>
      <c r="H126" s="1">
        <f t="shared" si="72"/>
        <v>0.48128342245989303</v>
      </c>
      <c r="I126" s="27">
        <f t="shared" si="73"/>
        <v>187</v>
      </c>
      <c r="J126" s="25">
        <f t="shared" si="74"/>
        <v>50.4</v>
      </c>
      <c r="K126" s="34">
        <f t="shared" si="75"/>
        <v>136.136</v>
      </c>
      <c r="L126" s="37">
        <f t="shared" si="76"/>
        <v>85.73599999999999</v>
      </c>
      <c r="M126" s="41">
        <f t="shared" si="77"/>
        <v>0.6192307692307693</v>
      </c>
      <c r="N126" s="49">
        <f t="shared" si="78"/>
        <v>90</v>
      </c>
      <c r="P126" s="57">
        <f t="shared" si="79"/>
        <v>1.006923076923077</v>
      </c>
      <c r="Q126" s="69">
        <v>130</v>
      </c>
      <c r="R126" s="69">
        <f t="shared" si="80"/>
        <v>2.077777777777778</v>
      </c>
      <c r="S126" s="69">
        <f t="shared" si="81"/>
        <v>8.216320000000001</v>
      </c>
    </row>
    <row r="127" spans="1:19" ht="12.75">
      <c r="A127" s="77" t="s">
        <v>53</v>
      </c>
      <c r="B127" s="1">
        <v>2000</v>
      </c>
      <c r="C127" s="1">
        <v>106</v>
      </c>
      <c r="D127" s="1">
        <v>139</v>
      </c>
      <c r="H127" s="1">
        <f t="shared" si="72"/>
        <v>0.762589928057554</v>
      </c>
      <c r="I127" s="27">
        <f t="shared" si="73"/>
        <v>139</v>
      </c>
      <c r="J127" s="25">
        <f t="shared" si="74"/>
        <v>59.36</v>
      </c>
      <c r="K127" s="34">
        <f t="shared" si="75"/>
        <v>101.192</v>
      </c>
      <c r="L127" s="37">
        <f t="shared" si="76"/>
        <v>41.831999999999994</v>
      </c>
      <c r="M127" s="41">
        <f t="shared" si="77"/>
        <v>0.2918461538461539</v>
      </c>
      <c r="N127" s="49">
        <f t="shared" si="78"/>
        <v>106</v>
      </c>
      <c r="P127" s="57">
        <f t="shared" si="79"/>
        <v>0.7484615384615385</v>
      </c>
      <c r="Q127" s="69">
        <v>130</v>
      </c>
      <c r="R127" s="69">
        <f t="shared" si="80"/>
        <v>1.3113207547169812</v>
      </c>
      <c r="S127" s="69">
        <f t="shared" si="81"/>
        <v>5.6448</v>
      </c>
    </row>
    <row r="128" spans="1:19" ht="12.75">
      <c r="A128" s="77" t="s">
        <v>53</v>
      </c>
      <c r="B128" s="1">
        <v>2001</v>
      </c>
      <c r="C128" s="1">
        <v>89</v>
      </c>
      <c r="D128" s="1">
        <v>170</v>
      </c>
      <c r="H128" s="1">
        <f t="shared" si="72"/>
        <v>0.5235294117647059</v>
      </c>
      <c r="I128" s="27">
        <f t="shared" si="73"/>
        <v>170</v>
      </c>
      <c r="J128" s="25">
        <f t="shared" si="74"/>
        <v>49.84</v>
      </c>
      <c r="K128" s="34">
        <f t="shared" si="75"/>
        <v>123.75999999999999</v>
      </c>
      <c r="L128" s="37">
        <f t="shared" si="76"/>
        <v>73.91999999999999</v>
      </c>
      <c r="M128" s="41">
        <f t="shared" si="77"/>
        <v>0.532</v>
      </c>
      <c r="N128" s="49">
        <f t="shared" si="78"/>
        <v>89</v>
      </c>
      <c r="P128" s="57">
        <f t="shared" si="79"/>
        <v>0.9153846153846154</v>
      </c>
      <c r="Q128" s="69">
        <v>130</v>
      </c>
      <c r="R128" s="69">
        <f t="shared" si="80"/>
        <v>1.9101123595505618</v>
      </c>
      <c r="S128" s="69">
        <f t="shared" si="81"/>
        <v>6.648320000000002</v>
      </c>
    </row>
    <row r="129" spans="1:19" ht="12.75">
      <c r="A129" s="77" t="s">
        <v>53</v>
      </c>
      <c r="B129" s="1">
        <v>2002</v>
      </c>
      <c r="C129" s="1">
        <v>122</v>
      </c>
      <c r="D129" s="1">
        <v>202</v>
      </c>
      <c r="H129" s="1">
        <f t="shared" si="72"/>
        <v>0.6039603960396039</v>
      </c>
      <c r="I129" s="27">
        <f t="shared" si="73"/>
        <v>202</v>
      </c>
      <c r="J129" s="25">
        <f t="shared" si="74"/>
        <v>68.32000000000001</v>
      </c>
      <c r="K129" s="34">
        <f t="shared" si="75"/>
        <v>147.05599999999998</v>
      </c>
      <c r="L129" s="37">
        <f t="shared" si="76"/>
        <v>78.73599999999998</v>
      </c>
      <c r="M129" s="41">
        <f t="shared" si="77"/>
        <v>0.5621538461538461</v>
      </c>
      <c r="N129" s="49">
        <f t="shared" si="78"/>
        <v>122</v>
      </c>
      <c r="P129" s="57">
        <f t="shared" si="79"/>
        <v>1.0876923076923077</v>
      </c>
      <c r="Q129" s="69">
        <v>130</v>
      </c>
      <c r="R129" s="69">
        <f t="shared" si="80"/>
        <v>1.6557377049180328</v>
      </c>
      <c r="S129" s="69">
        <f t="shared" si="81"/>
        <v>5.582080000000001</v>
      </c>
    </row>
    <row r="130" spans="1:19" ht="12.75">
      <c r="A130" s="77" t="s">
        <v>53</v>
      </c>
      <c r="B130" s="1">
        <v>2003</v>
      </c>
      <c r="C130" s="1">
        <v>126</v>
      </c>
      <c r="D130" s="1">
        <v>189</v>
      </c>
      <c r="H130" s="1">
        <f t="shared" si="72"/>
        <v>0.6666666666666666</v>
      </c>
      <c r="I130" s="27">
        <f t="shared" si="73"/>
        <v>189</v>
      </c>
      <c r="J130" s="25">
        <f t="shared" si="74"/>
        <v>70.56</v>
      </c>
      <c r="K130" s="34">
        <f t="shared" si="75"/>
        <v>137.59199999999998</v>
      </c>
      <c r="L130" s="37">
        <f t="shared" si="76"/>
        <v>67.03199999999998</v>
      </c>
      <c r="M130" s="41">
        <f t="shared" si="77"/>
        <v>0.474923076923077</v>
      </c>
      <c r="N130" s="49">
        <f t="shared" si="78"/>
        <v>126</v>
      </c>
      <c r="P130" s="57">
        <f t="shared" si="79"/>
        <v>1.0176923076923077</v>
      </c>
      <c r="Q130" s="69">
        <v>130</v>
      </c>
      <c r="R130" s="69">
        <f t="shared" si="80"/>
        <v>1.5</v>
      </c>
      <c r="S130" s="69">
        <f t="shared" si="81"/>
        <v>7.651840000000001</v>
      </c>
    </row>
    <row r="131" spans="1:22" ht="12.75">
      <c r="A131" s="78" t="s">
        <v>54</v>
      </c>
      <c r="B131" s="67">
        <v>1990</v>
      </c>
      <c r="C131" s="1">
        <v>61</v>
      </c>
      <c r="D131" s="1">
        <v>146</v>
      </c>
      <c r="H131" s="1">
        <f>C131/(MAX(C131:D131))</f>
        <v>0.4178082191780822</v>
      </c>
      <c r="I131" s="27">
        <f t="shared" si="73"/>
        <v>146</v>
      </c>
      <c r="J131" s="25">
        <f t="shared" si="74"/>
        <v>34.160000000000004</v>
      </c>
      <c r="K131" s="34">
        <f>MAX(C131:D131)*56*0.013</f>
        <v>106.288</v>
      </c>
      <c r="L131" s="37">
        <f>K131-J131</f>
        <v>72.12799999999999</v>
      </c>
      <c r="M131" s="41">
        <f>((D131*56*0.0125)-(C131*56*0.01))/180</f>
        <v>0.37799999999999995</v>
      </c>
      <c r="N131" s="49">
        <f aca="true" t="shared" si="82" ref="N131:N142">C131</f>
        <v>61</v>
      </c>
      <c r="P131" s="57">
        <f>(D131*56*0.0125)/180</f>
        <v>0.5677777777777778</v>
      </c>
      <c r="Q131" s="69">
        <v>180</v>
      </c>
      <c r="R131" s="69">
        <f t="shared" si="80"/>
        <v>2.3934426229508197</v>
      </c>
      <c r="U131" s="2" t="s">
        <v>41</v>
      </c>
      <c r="V131" s="79" t="s">
        <v>45</v>
      </c>
    </row>
    <row r="132" spans="1:19" ht="12.75">
      <c r="A132" s="78" t="s">
        <v>54</v>
      </c>
      <c r="B132" s="67">
        <v>1991</v>
      </c>
      <c r="C132" s="1">
        <v>62</v>
      </c>
      <c r="D132" s="1">
        <v>162</v>
      </c>
      <c r="H132" s="1">
        <f aca="true" t="shared" si="83" ref="H132:H142">C132/(MAX(C132:D132))</f>
        <v>0.38271604938271603</v>
      </c>
      <c r="I132" s="27">
        <f t="shared" si="73"/>
        <v>162</v>
      </c>
      <c r="J132" s="25">
        <f t="shared" si="74"/>
        <v>34.72</v>
      </c>
      <c r="K132" s="34">
        <f aca="true" t="shared" si="84" ref="K132:K142">MAX(C132:D132)*56*0.013</f>
        <v>117.93599999999999</v>
      </c>
      <c r="L132" s="37">
        <f t="shared" si="76"/>
        <v>83.216</v>
      </c>
      <c r="M132" s="41">
        <f aca="true" t="shared" si="85" ref="M132:M142">((D132*56*0.0125)-(C132*56*0.01))/180</f>
        <v>0.4371111111111112</v>
      </c>
      <c r="N132" s="49">
        <f t="shared" si="82"/>
        <v>62</v>
      </c>
      <c r="P132" s="57">
        <f aca="true" t="shared" si="86" ref="P132:P142">(D132*56*0.0125)/180</f>
        <v>0.63</v>
      </c>
      <c r="Q132" s="69">
        <v>180</v>
      </c>
      <c r="R132" s="69">
        <f t="shared" si="80"/>
        <v>2.6129032258064515</v>
      </c>
      <c r="S132" s="69">
        <f>R131*(C131*56*1.12/1000)*H131</f>
        <v>3.8259200000000004</v>
      </c>
    </row>
    <row r="133" spans="1:19" ht="12.75">
      <c r="A133" s="78" t="s">
        <v>54</v>
      </c>
      <c r="B133" s="67">
        <v>1992</v>
      </c>
      <c r="C133" s="1">
        <v>64</v>
      </c>
      <c r="D133" s="1">
        <v>121</v>
      </c>
      <c r="H133" s="1">
        <f t="shared" si="83"/>
        <v>0.5289256198347108</v>
      </c>
      <c r="I133" s="27">
        <f t="shared" si="73"/>
        <v>121</v>
      </c>
      <c r="J133" s="25">
        <f t="shared" si="74"/>
        <v>35.84</v>
      </c>
      <c r="K133" s="34">
        <f t="shared" si="84"/>
        <v>88.088</v>
      </c>
      <c r="L133" s="37">
        <f t="shared" si="76"/>
        <v>52.24799999999999</v>
      </c>
      <c r="M133" s="41">
        <f t="shared" si="85"/>
        <v>0.27144444444444443</v>
      </c>
      <c r="N133" s="49">
        <f t="shared" si="82"/>
        <v>64</v>
      </c>
      <c r="P133" s="57">
        <f t="shared" si="86"/>
        <v>0.47055555555555556</v>
      </c>
      <c r="Q133" s="69">
        <v>180</v>
      </c>
      <c r="R133" s="69">
        <f t="shared" si="80"/>
        <v>1.890625</v>
      </c>
      <c r="S133" s="69">
        <f aca="true" t="shared" si="87" ref="S133:S142">R132*(C132*56*1.12/1000)*H132</f>
        <v>3.88864</v>
      </c>
    </row>
    <row r="134" spans="1:19" ht="12.75">
      <c r="A134" s="78" t="s">
        <v>54</v>
      </c>
      <c r="B134" s="67">
        <v>1993</v>
      </c>
      <c r="C134" s="1">
        <v>64</v>
      </c>
      <c r="D134" s="1">
        <v>156</v>
      </c>
      <c r="H134" s="1">
        <f t="shared" si="83"/>
        <v>0.41025641025641024</v>
      </c>
      <c r="I134" s="27">
        <f t="shared" si="73"/>
        <v>156</v>
      </c>
      <c r="J134" s="25">
        <f t="shared" si="74"/>
        <v>35.84</v>
      </c>
      <c r="K134" s="34">
        <f t="shared" si="84"/>
        <v>113.568</v>
      </c>
      <c r="L134" s="37">
        <f t="shared" si="76"/>
        <v>77.728</v>
      </c>
      <c r="M134" s="41">
        <f t="shared" si="85"/>
        <v>0.40755555555555556</v>
      </c>
      <c r="N134" s="49">
        <f t="shared" si="82"/>
        <v>64</v>
      </c>
      <c r="P134" s="57">
        <f t="shared" si="86"/>
        <v>0.6066666666666667</v>
      </c>
      <c r="Q134" s="69">
        <v>180</v>
      </c>
      <c r="R134" s="69">
        <f t="shared" si="80"/>
        <v>2.4375</v>
      </c>
      <c r="S134" s="69">
        <f t="shared" si="87"/>
        <v>4.014080000000001</v>
      </c>
    </row>
    <row r="135" spans="1:19" ht="12.75">
      <c r="A135" s="78" t="s">
        <v>54</v>
      </c>
      <c r="B135" s="67">
        <v>1994</v>
      </c>
      <c r="C135" s="1">
        <v>39</v>
      </c>
      <c r="D135" s="1">
        <v>135</v>
      </c>
      <c r="H135" s="1">
        <f t="shared" si="83"/>
        <v>0.28888888888888886</v>
      </c>
      <c r="I135" s="27">
        <f t="shared" si="73"/>
        <v>135</v>
      </c>
      <c r="J135" s="25">
        <f t="shared" si="74"/>
        <v>21.84</v>
      </c>
      <c r="K135" s="34">
        <f t="shared" si="84"/>
        <v>98.28</v>
      </c>
      <c r="L135" s="37">
        <f t="shared" si="76"/>
        <v>76.44</v>
      </c>
      <c r="M135" s="41">
        <f t="shared" si="85"/>
        <v>0.4036666666666667</v>
      </c>
      <c r="N135" s="49">
        <f t="shared" si="82"/>
        <v>39</v>
      </c>
      <c r="P135" s="57">
        <f t="shared" si="86"/>
        <v>0.525</v>
      </c>
      <c r="Q135" s="69">
        <v>180</v>
      </c>
      <c r="R135" s="69">
        <f t="shared" si="80"/>
        <v>3.4615384615384617</v>
      </c>
      <c r="S135" s="69">
        <f t="shared" si="87"/>
        <v>4.01408</v>
      </c>
    </row>
    <row r="136" spans="1:19" ht="12.75">
      <c r="A136" s="78" t="s">
        <v>54</v>
      </c>
      <c r="B136" s="67">
        <v>1995</v>
      </c>
      <c r="C136" s="1">
        <v>51</v>
      </c>
      <c r="D136" s="1">
        <v>165</v>
      </c>
      <c r="H136" s="1">
        <f t="shared" si="83"/>
        <v>0.3090909090909091</v>
      </c>
      <c r="I136" s="27">
        <f t="shared" si="73"/>
        <v>165</v>
      </c>
      <c r="J136" s="25">
        <f t="shared" si="74"/>
        <v>28.560000000000002</v>
      </c>
      <c r="K136" s="34">
        <f t="shared" si="84"/>
        <v>120.11999999999999</v>
      </c>
      <c r="L136" s="37">
        <f t="shared" si="76"/>
        <v>91.55999999999999</v>
      </c>
      <c r="M136" s="41">
        <f t="shared" si="85"/>
        <v>0.483</v>
      </c>
      <c r="N136" s="49">
        <f t="shared" si="82"/>
        <v>51</v>
      </c>
      <c r="P136" s="57">
        <f t="shared" si="86"/>
        <v>0.6416666666666667</v>
      </c>
      <c r="Q136" s="69">
        <v>180</v>
      </c>
      <c r="R136" s="69">
        <f t="shared" si="80"/>
        <v>3.235294117647059</v>
      </c>
      <c r="S136" s="69">
        <f t="shared" si="87"/>
        <v>2.4460800000000003</v>
      </c>
    </row>
    <row r="137" spans="1:19" ht="12.75">
      <c r="A137" s="78" t="s">
        <v>54</v>
      </c>
      <c r="B137" s="67">
        <v>1996</v>
      </c>
      <c r="C137" s="1">
        <v>57</v>
      </c>
      <c r="D137" s="1">
        <v>178</v>
      </c>
      <c r="H137" s="1">
        <f t="shared" si="83"/>
        <v>0.3202247191011236</v>
      </c>
      <c r="I137" s="27">
        <f t="shared" si="73"/>
        <v>178</v>
      </c>
      <c r="J137" s="25">
        <f t="shared" si="74"/>
        <v>31.92</v>
      </c>
      <c r="K137" s="34">
        <f t="shared" si="84"/>
        <v>129.584</v>
      </c>
      <c r="L137" s="37">
        <f t="shared" si="76"/>
        <v>97.664</v>
      </c>
      <c r="M137" s="41">
        <f t="shared" si="85"/>
        <v>0.514888888888889</v>
      </c>
      <c r="N137" s="49">
        <f t="shared" si="82"/>
        <v>57</v>
      </c>
      <c r="P137" s="57">
        <f t="shared" si="86"/>
        <v>0.6922222222222223</v>
      </c>
      <c r="Q137" s="69">
        <v>180</v>
      </c>
      <c r="R137" s="69">
        <f t="shared" si="80"/>
        <v>3.1228070175438596</v>
      </c>
      <c r="S137" s="69">
        <f t="shared" si="87"/>
        <v>3.1987200000000002</v>
      </c>
    </row>
    <row r="138" spans="1:19" ht="12.75">
      <c r="A138" s="78" t="s">
        <v>54</v>
      </c>
      <c r="B138" s="67">
        <v>1997</v>
      </c>
      <c r="C138" s="1">
        <v>68</v>
      </c>
      <c r="D138" s="1">
        <v>182</v>
      </c>
      <c r="H138" s="1">
        <f t="shared" si="83"/>
        <v>0.37362637362637363</v>
      </c>
      <c r="I138" s="27">
        <f t="shared" si="73"/>
        <v>182</v>
      </c>
      <c r="J138" s="25">
        <f t="shared" si="74"/>
        <v>38.08</v>
      </c>
      <c r="K138" s="34">
        <f t="shared" si="84"/>
        <v>132.49599999999998</v>
      </c>
      <c r="L138" s="37">
        <f t="shared" si="76"/>
        <v>94.41599999999998</v>
      </c>
      <c r="M138" s="41">
        <f t="shared" si="85"/>
        <v>0.4962222222222223</v>
      </c>
      <c r="N138" s="49">
        <f t="shared" si="82"/>
        <v>68</v>
      </c>
      <c r="P138" s="57">
        <f t="shared" si="86"/>
        <v>0.7077777777777778</v>
      </c>
      <c r="Q138" s="69">
        <v>180</v>
      </c>
      <c r="R138" s="69">
        <f t="shared" si="80"/>
        <v>2.676470588235294</v>
      </c>
      <c r="S138" s="69">
        <f t="shared" si="87"/>
        <v>3.5750400000000004</v>
      </c>
    </row>
    <row r="139" spans="1:19" ht="12.75">
      <c r="A139" s="78" t="s">
        <v>54</v>
      </c>
      <c r="B139" s="67">
        <v>1998</v>
      </c>
      <c r="C139" s="1">
        <v>68</v>
      </c>
      <c r="D139" s="1">
        <v>140</v>
      </c>
      <c r="H139" s="1">
        <f t="shared" si="83"/>
        <v>0.4857142857142857</v>
      </c>
      <c r="I139" s="27">
        <f t="shared" si="73"/>
        <v>140</v>
      </c>
      <c r="J139" s="25">
        <f t="shared" si="74"/>
        <v>38.08</v>
      </c>
      <c r="K139" s="34">
        <f t="shared" si="84"/>
        <v>101.92</v>
      </c>
      <c r="L139" s="37">
        <f t="shared" si="76"/>
        <v>63.84</v>
      </c>
      <c r="M139" s="41">
        <f t="shared" si="85"/>
        <v>0.3328888888888889</v>
      </c>
      <c r="N139" s="49">
        <f t="shared" si="82"/>
        <v>68</v>
      </c>
      <c r="P139" s="57">
        <f t="shared" si="86"/>
        <v>0.5444444444444444</v>
      </c>
      <c r="Q139" s="69">
        <v>180</v>
      </c>
      <c r="R139" s="69">
        <f t="shared" si="80"/>
        <v>2.0588235294117645</v>
      </c>
      <c r="S139" s="69">
        <f t="shared" si="87"/>
        <v>4.264959999999999</v>
      </c>
    </row>
    <row r="140" spans="1:19" ht="12.75">
      <c r="A140" s="78" t="s">
        <v>54</v>
      </c>
      <c r="B140" s="67">
        <v>1999</v>
      </c>
      <c r="C140" s="1">
        <v>66</v>
      </c>
      <c r="D140" s="1">
        <v>174</v>
      </c>
      <c r="H140" s="1">
        <f t="shared" si="83"/>
        <v>0.3793103448275862</v>
      </c>
      <c r="I140" s="27">
        <f t="shared" si="73"/>
        <v>174</v>
      </c>
      <c r="J140" s="25">
        <f t="shared" si="74"/>
        <v>36.96</v>
      </c>
      <c r="K140" s="34">
        <f t="shared" si="84"/>
        <v>126.672</v>
      </c>
      <c r="L140" s="37">
        <f t="shared" si="76"/>
        <v>89.71199999999999</v>
      </c>
      <c r="M140" s="41">
        <f t="shared" si="85"/>
        <v>0.4713333333333333</v>
      </c>
      <c r="N140" s="49">
        <f t="shared" si="82"/>
        <v>66</v>
      </c>
      <c r="P140" s="57">
        <f t="shared" si="86"/>
        <v>0.6766666666666667</v>
      </c>
      <c r="Q140" s="69">
        <v>180</v>
      </c>
      <c r="R140" s="69">
        <f t="shared" si="80"/>
        <v>2.6363636363636362</v>
      </c>
      <c r="S140" s="69">
        <f t="shared" si="87"/>
        <v>4.264959999999999</v>
      </c>
    </row>
    <row r="141" spans="1:19" ht="12.75">
      <c r="A141" s="78" t="s">
        <v>54</v>
      </c>
      <c r="B141" s="67">
        <v>2000</v>
      </c>
      <c r="C141" s="1">
        <v>65</v>
      </c>
      <c r="D141" s="1">
        <v>186</v>
      </c>
      <c r="H141" s="1">
        <f t="shared" si="83"/>
        <v>0.34946236559139787</v>
      </c>
      <c r="I141" s="27">
        <f t="shared" si="73"/>
        <v>186</v>
      </c>
      <c r="J141" s="25">
        <f t="shared" si="74"/>
        <v>36.4</v>
      </c>
      <c r="K141" s="34">
        <f t="shared" si="84"/>
        <v>135.408</v>
      </c>
      <c r="L141" s="37">
        <f t="shared" si="76"/>
        <v>99.00799999999998</v>
      </c>
      <c r="M141" s="41">
        <f t="shared" si="85"/>
        <v>0.5211111111111112</v>
      </c>
      <c r="N141" s="49">
        <f t="shared" si="82"/>
        <v>65</v>
      </c>
      <c r="P141" s="57">
        <f t="shared" si="86"/>
        <v>0.7233333333333334</v>
      </c>
      <c r="Q141" s="69">
        <v>180</v>
      </c>
      <c r="R141" s="69">
        <f t="shared" si="80"/>
        <v>2.8615384615384616</v>
      </c>
      <c r="S141" s="69">
        <f t="shared" si="87"/>
        <v>4.13952</v>
      </c>
    </row>
    <row r="142" spans="1:19" ht="12.75">
      <c r="A142" s="78" t="s">
        <v>54</v>
      </c>
      <c r="B142" s="67">
        <v>2001</v>
      </c>
      <c r="C142" s="1">
        <v>67</v>
      </c>
      <c r="D142" s="1">
        <v>169</v>
      </c>
      <c r="H142" s="1">
        <f t="shared" si="83"/>
        <v>0.39644970414201186</v>
      </c>
      <c r="I142" s="27">
        <f t="shared" si="73"/>
        <v>169</v>
      </c>
      <c r="J142" s="25">
        <f t="shared" si="74"/>
        <v>37.52</v>
      </c>
      <c r="K142" s="34">
        <f t="shared" si="84"/>
        <v>123.032</v>
      </c>
      <c r="L142" s="37">
        <f t="shared" si="76"/>
        <v>85.512</v>
      </c>
      <c r="M142" s="41">
        <f t="shared" si="85"/>
        <v>0.4487777777777778</v>
      </c>
      <c r="N142" s="49">
        <f t="shared" si="82"/>
        <v>67</v>
      </c>
      <c r="P142" s="57">
        <f t="shared" si="86"/>
        <v>0.6572222222222223</v>
      </c>
      <c r="Q142" s="69">
        <v>180</v>
      </c>
      <c r="R142" s="69">
        <f t="shared" si="80"/>
        <v>2.5223880597014925</v>
      </c>
      <c r="S142" s="69">
        <f t="shared" si="87"/>
        <v>4.0768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schepers</dc:creator>
  <cp:keywords/>
  <dc:description/>
  <cp:lastModifiedBy>William Raun</cp:lastModifiedBy>
  <cp:lastPrinted>2005-06-27T18:03:10Z</cp:lastPrinted>
  <dcterms:created xsi:type="dcterms:W3CDTF">2005-06-27T16:40:48Z</dcterms:created>
  <dcterms:modified xsi:type="dcterms:W3CDTF">2006-07-27T14:16:08Z</dcterms:modified>
  <cp:category/>
  <cp:version/>
  <cp:contentType/>
  <cp:contentStatus/>
</cp:coreProperties>
</file>